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310"/>
  </bookViews>
  <sheets>
    <sheet name="eping_WTO TBT notifications" sheetId="1" r:id="rId1"/>
    <sheet name="eping_WTO_SPS notification" sheetId="2" r:id="rId2"/>
  </sheets>
  <definedNames>
    <definedName name="_xlnm._FilterDatabase" localSheetId="0" hidden="1">'eping_WTO TBT notifications'!$A$6:$M$696</definedName>
    <definedName name="_xlnm._FilterDatabase" localSheetId="1" hidden="1">'eping_WTO_SPS notification'!$A$6:$O$1938</definedName>
    <definedName name="bmkSymbols" localSheetId="0">'eping_WTO TBT notifications'!$B$43</definedName>
    <definedName name="sps5c" localSheetId="1">'eping_WTO_SPS notification'!$C$7</definedName>
  </definedNames>
  <calcPr calcId="145621"/>
</workbook>
</file>

<file path=xl/calcChain.xml><?xml version="1.0" encoding="utf-8"?>
<calcChain xmlns="http://schemas.openxmlformats.org/spreadsheetml/2006/main">
  <c r="J11" i="1" l="1"/>
  <c r="J10" i="1"/>
  <c r="J9" i="1"/>
  <c r="J8" i="1"/>
  <c r="J7" i="1"/>
  <c r="E11" i="1"/>
  <c r="E10" i="1"/>
  <c r="E9" i="1"/>
  <c r="E8" i="1"/>
  <c r="E7" i="1"/>
  <c r="J12" i="1"/>
  <c r="L12" i="1"/>
  <c r="E12" i="1"/>
  <c r="K8" i="2"/>
  <c r="E8" i="2"/>
  <c r="J13" i="1"/>
  <c r="J14" i="1"/>
  <c r="J15" i="1"/>
  <c r="L13" i="1"/>
  <c r="E13" i="1"/>
  <c r="L14" i="1"/>
  <c r="E14" i="1"/>
  <c r="L15" i="1"/>
  <c r="E15" i="1"/>
  <c r="K9" i="2"/>
  <c r="K10" i="2"/>
  <c r="K11" i="2"/>
  <c r="K12" i="2"/>
  <c r="E9" i="2"/>
  <c r="E10" i="2"/>
  <c r="E12" i="2"/>
  <c r="K14" i="2" l="1"/>
  <c r="K13" i="2"/>
  <c r="E13" i="2"/>
  <c r="E14" i="2"/>
  <c r="K15" i="2" l="1"/>
  <c r="E15" i="2"/>
  <c r="K16" i="2"/>
  <c r="E16" i="2"/>
  <c r="K17" i="2"/>
  <c r="E17" i="2"/>
  <c r="K18" i="2" l="1"/>
  <c r="K23" i="2"/>
  <c r="K28" i="2"/>
  <c r="K27" i="2"/>
  <c r="K26" i="2"/>
  <c r="K25" i="2"/>
  <c r="K24" i="2"/>
  <c r="E28" i="2"/>
  <c r="E27" i="2"/>
  <c r="E26" i="2"/>
  <c r="E25" i="2"/>
  <c r="E24" i="2"/>
  <c r="K29" i="2"/>
  <c r="E29" i="2"/>
  <c r="K34" i="2"/>
  <c r="K33" i="2"/>
  <c r="K32" i="2"/>
  <c r="K31" i="2"/>
  <c r="K30" i="2"/>
  <c r="E34" i="2"/>
  <c r="E33" i="2"/>
  <c r="E32" i="2"/>
  <c r="E31" i="2"/>
  <c r="E30" i="2"/>
  <c r="J17" i="1"/>
  <c r="L17" i="1"/>
  <c r="E17" i="1"/>
  <c r="L20" i="1" l="1"/>
  <c r="K20" i="1"/>
  <c r="K19" i="2"/>
  <c r="E19" i="2"/>
  <c r="K35" i="2"/>
  <c r="E35" i="2"/>
  <c r="K22" i="2"/>
  <c r="K21" i="2"/>
  <c r="K20" i="2"/>
  <c r="E22" i="2"/>
  <c r="E21" i="2"/>
  <c r="E20" i="2"/>
  <c r="K37" i="2"/>
  <c r="E37" i="2"/>
  <c r="K36" i="2"/>
  <c r="O36" i="2"/>
  <c r="E36" i="2"/>
  <c r="J23" i="1"/>
  <c r="J22" i="1"/>
  <c r="E23" i="1"/>
  <c r="E22" i="1"/>
  <c r="K38" i="2" l="1"/>
  <c r="K39" i="2"/>
  <c r="K42" i="2" l="1"/>
  <c r="K41" i="2"/>
  <c r="K40" i="2"/>
  <c r="E42" i="2"/>
  <c r="E41" i="2"/>
  <c r="E40" i="2"/>
  <c r="J25" i="1"/>
  <c r="J24" i="1"/>
  <c r="E25" i="1"/>
  <c r="E24" i="1"/>
  <c r="J26" i="1"/>
  <c r="E26" i="1"/>
  <c r="J27" i="1"/>
  <c r="E27" i="1"/>
  <c r="K43" i="2" l="1"/>
  <c r="E43" i="2"/>
  <c r="J38" i="1" l="1"/>
  <c r="K82" i="2"/>
  <c r="K47" i="2"/>
  <c r="K46" i="2"/>
  <c r="K45" i="2"/>
  <c r="K44" i="2"/>
  <c r="E47" i="2"/>
  <c r="E46" i="2"/>
  <c r="E45" i="2"/>
  <c r="E44" i="2"/>
  <c r="J29" i="1"/>
  <c r="L29" i="1"/>
  <c r="E29" i="1"/>
  <c r="K53" i="2"/>
  <c r="K52" i="2"/>
  <c r="K51" i="2"/>
  <c r="K50" i="2"/>
  <c r="K49" i="2"/>
  <c r="K48" i="2"/>
  <c r="E53" i="2"/>
  <c r="E52" i="2"/>
  <c r="E51" i="2"/>
  <c r="E50" i="2"/>
  <c r="E49" i="2"/>
  <c r="E48" i="2"/>
  <c r="J32" i="1"/>
  <c r="J31" i="1"/>
  <c r="L32" i="1"/>
  <c r="E32" i="1"/>
  <c r="L31" i="1"/>
  <c r="E31" i="1"/>
  <c r="K84" i="2"/>
  <c r="M84" i="2"/>
  <c r="K83" i="2"/>
  <c r="M83" i="2"/>
  <c r="J39" i="1" l="1"/>
  <c r="K64" i="2"/>
  <c r="E64" i="2"/>
  <c r="K68" i="2"/>
  <c r="K67" i="2"/>
  <c r="K66" i="2"/>
  <c r="K65" i="2"/>
  <c r="E68" i="2"/>
  <c r="E67" i="2"/>
  <c r="E66" i="2"/>
  <c r="E65" i="2"/>
  <c r="N75" i="2"/>
  <c r="E75" i="2"/>
  <c r="N74" i="2"/>
  <c r="E74" i="2"/>
  <c r="N73" i="2"/>
  <c r="E73" i="2"/>
  <c r="N72" i="2"/>
  <c r="K72" i="2"/>
  <c r="E72" i="2"/>
  <c r="N71" i="2"/>
  <c r="K71" i="2"/>
  <c r="E71" i="2"/>
  <c r="N70" i="2"/>
  <c r="K70" i="2"/>
  <c r="E70" i="2"/>
  <c r="N69" i="2"/>
  <c r="E69" i="2"/>
  <c r="L41" i="1" l="1"/>
  <c r="K41" i="1"/>
  <c r="M104" i="1"/>
  <c r="L104" i="1"/>
  <c r="K104" i="1"/>
  <c r="J104" i="1"/>
  <c r="L175" i="1"/>
  <c r="K175" i="1"/>
  <c r="J37" i="1"/>
  <c r="P41" i="1"/>
  <c r="L37" i="1"/>
  <c r="E37" i="1"/>
  <c r="K76" i="2"/>
  <c r="E76" i="2"/>
  <c r="K80" i="2"/>
  <c r="K79" i="2"/>
  <c r="L80" i="2"/>
  <c r="E80" i="2"/>
  <c r="L79" i="2"/>
  <c r="E79" i="2"/>
  <c r="K78" i="2"/>
  <c r="E78" i="2"/>
  <c r="K77" i="2"/>
  <c r="E77" i="2"/>
  <c r="K88" i="2" l="1"/>
  <c r="K87" i="2"/>
  <c r="K86" i="2"/>
  <c r="M86" i="2"/>
  <c r="M87" i="2"/>
  <c r="M88" i="2"/>
  <c r="K91" i="2" l="1"/>
  <c r="M91" i="2"/>
  <c r="J30" i="1"/>
  <c r="J44" i="1"/>
  <c r="K90" i="2"/>
  <c r="M90" i="2"/>
  <c r="K89" i="2"/>
  <c r="M89" i="2"/>
  <c r="K92" i="2" l="1"/>
  <c r="M92" i="2"/>
  <c r="K93" i="2"/>
  <c r="M93" i="2"/>
  <c r="M53" i="1"/>
  <c r="M52" i="1"/>
  <c r="J53" i="1"/>
  <c r="J52" i="1"/>
  <c r="L30" i="1" l="1"/>
  <c r="E30" i="1"/>
  <c r="K56" i="2"/>
  <c r="K54" i="2"/>
  <c r="K55" i="2"/>
  <c r="E56" i="2"/>
  <c r="E54" i="2"/>
  <c r="E55" i="2"/>
  <c r="K62" i="2" l="1"/>
  <c r="K61" i="2"/>
  <c r="K57" i="2"/>
  <c r="K58" i="2"/>
  <c r="K60" i="2"/>
  <c r="K59" i="2"/>
  <c r="E61" i="2"/>
  <c r="E57" i="2"/>
  <c r="E60" i="2"/>
  <c r="E59" i="2"/>
  <c r="E58" i="2"/>
  <c r="E62" i="2"/>
  <c r="E63" i="2" l="1"/>
  <c r="P47" i="1"/>
  <c r="L36" i="1"/>
  <c r="E36" i="1"/>
  <c r="L34" i="1"/>
  <c r="E34" i="1"/>
  <c r="L33" i="1"/>
  <c r="E33" i="1"/>
  <c r="L35" i="1"/>
  <c r="E35" i="1"/>
  <c r="J46" i="1" l="1"/>
  <c r="K95" i="2" l="1"/>
  <c r="L95" i="2"/>
  <c r="M95" i="2"/>
  <c r="N95" i="2"/>
  <c r="K96" i="2"/>
  <c r="L96" i="2"/>
  <c r="M96" i="2"/>
  <c r="N96" i="2"/>
  <c r="K97" i="2"/>
  <c r="L97" i="2"/>
  <c r="M97" i="2"/>
  <c r="N97" i="2"/>
  <c r="K98" i="2"/>
  <c r="L98" i="2"/>
  <c r="M98" i="2"/>
  <c r="N98" i="2"/>
  <c r="K99" i="2"/>
  <c r="L99" i="2"/>
  <c r="M99" i="2"/>
  <c r="N99" i="2"/>
  <c r="K100" i="2"/>
  <c r="L100" i="2"/>
  <c r="M100" i="2"/>
  <c r="N100" i="2"/>
  <c r="K94" i="2"/>
  <c r="L94" i="2"/>
  <c r="M94" i="2"/>
  <c r="N94" i="2"/>
  <c r="K101" i="2"/>
  <c r="L101" i="2"/>
  <c r="M101" i="2"/>
  <c r="N101" i="2"/>
  <c r="K102" i="2"/>
  <c r="L102" i="2"/>
  <c r="M102" i="2"/>
  <c r="N102" i="2"/>
  <c r="K104" i="2"/>
  <c r="L104" i="2"/>
  <c r="M104" i="2"/>
  <c r="N104" i="2"/>
  <c r="K108" i="2"/>
  <c r="L108" i="2"/>
  <c r="M108" i="2"/>
  <c r="N108" i="2"/>
  <c r="K106" i="2"/>
  <c r="L106" i="2"/>
  <c r="M106" i="2"/>
  <c r="N106" i="2"/>
  <c r="K110" i="2"/>
  <c r="L110" i="2"/>
  <c r="M110" i="2"/>
  <c r="N110" i="2"/>
  <c r="K111" i="2"/>
  <c r="L111" i="2"/>
  <c r="M111" i="2"/>
  <c r="N111" i="2"/>
  <c r="K120" i="2"/>
  <c r="L120" i="2"/>
  <c r="M120" i="2"/>
  <c r="N120" i="2"/>
  <c r="K113" i="2"/>
  <c r="L113" i="2"/>
  <c r="M113" i="2"/>
  <c r="N113" i="2"/>
  <c r="K114" i="2"/>
  <c r="L114" i="2"/>
  <c r="M114" i="2"/>
  <c r="N114" i="2"/>
  <c r="K115" i="2"/>
  <c r="L115" i="2"/>
  <c r="M115" i="2"/>
  <c r="N115" i="2"/>
  <c r="K116" i="2"/>
  <c r="L116" i="2"/>
  <c r="M116" i="2"/>
  <c r="N116" i="2"/>
  <c r="K117" i="2"/>
  <c r="L117" i="2"/>
  <c r="M117" i="2"/>
  <c r="N117" i="2"/>
  <c r="K118" i="2"/>
  <c r="L118" i="2"/>
  <c r="M118" i="2"/>
  <c r="N118" i="2"/>
  <c r="K119" i="2"/>
  <c r="L119" i="2"/>
  <c r="M119" i="2"/>
  <c r="N119" i="2"/>
  <c r="K122" i="2"/>
  <c r="L122" i="2"/>
  <c r="M122" i="2"/>
  <c r="N122" i="2"/>
  <c r="K125" i="2"/>
  <c r="L125" i="2"/>
  <c r="M125" i="2"/>
  <c r="N125" i="2"/>
  <c r="K124" i="2"/>
  <c r="L124" i="2"/>
  <c r="M124" i="2"/>
  <c r="N124" i="2"/>
  <c r="K130" i="2"/>
  <c r="L130" i="2"/>
  <c r="M130" i="2"/>
  <c r="N130" i="2"/>
  <c r="K127" i="2"/>
  <c r="L127" i="2"/>
  <c r="M127" i="2"/>
  <c r="N127" i="2"/>
  <c r="K129" i="2"/>
  <c r="L129" i="2"/>
  <c r="M129" i="2"/>
  <c r="N129" i="2"/>
  <c r="K128" i="2"/>
  <c r="L128" i="2"/>
  <c r="M128" i="2"/>
  <c r="N128" i="2"/>
  <c r="K132" i="2"/>
  <c r="L132" i="2"/>
  <c r="M132" i="2"/>
  <c r="N132" i="2"/>
  <c r="K131" i="2"/>
  <c r="L131" i="2"/>
  <c r="M131" i="2"/>
  <c r="N131" i="2"/>
  <c r="K133" i="2"/>
  <c r="L133" i="2"/>
  <c r="M133" i="2"/>
  <c r="N133" i="2"/>
  <c r="K134" i="2"/>
  <c r="L134" i="2"/>
  <c r="M134" i="2"/>
  <c r="N134" i="2"/>
  <c r="K135" i="2"/>
  <c r="L135" i="2"/>
  <c r="M135" i="2"/>
  <c r="N135" i="2"/>
  <c r="K136" i="2"/>
  <c r="L136" i="2"/>
  <c r="M136" i="2"/>
  <c r="N136" i="2"/>
  <c r="K137" i="2"/>
  <c r="L137" i="2"/>
  <c r="M137" i="2"/>
  <c r="N137" i="2"/>
  <c r="K138" i="2"/>
  <c r="L138" i="2"/>
  <c r="M138" i="2"/>
  <c r="N138" i="2"/>
  <c r="K139" i="2"/>
  <c r="L139" i="2"/>
  <c r="M139" i="2"/>
  <c r="N139" i="2"/>
  <c r="K140" i="2"/>
  <c r="L140" i="2"/>
  <c r="M140" i="2"/>
  <c r="N140" i="2"/>
  <c r="K149" i="2"/>
  <c r="L149" i="2"/>
  <c r="M149" i="2"/>
  <c r="N149" i="2"/>
  <c r="K150" i="2"/>
  <c r="L150" i="2"/>
  <c r="M150" i="2"/>
  <c r="N150" i="2"/>
  <c r="K151" i="2"/>
  <c r="L151" i="2"/>
  <c r="M151" i="2"/>
  <c r="N151" i="2"/>
  <c r="K154" i="2"/>
  <c r="L154" i="2"/>
  <c r="M154" i="2"/>
  <c r="N154" i="2"/>
  <c r="K153" i="2"/>
  <c r="L153" i="2"/>
  <c r="M153" i="2"/>
  <c r="N153" i="2"/>
  <c r="K157" i="2"/>
  <c r="L157" i="2"/>
  <c r="M157" i="2"/>
  <c r="N157" i="2"/>
  <c r="K158" i="2"/>
  <c r="L158" i="2"/>
  <c r="M158" i="2"/>
  <c r="N158" i="2"/>
  <c r="K164" i="2"/>
  <c r="L164" i="2"/>
  <c r="M164" i="2"/>
  <c r="N164" i="2"/>
  <c r="K167" i="2"/>
  <c r="L167" i="2"/>
  <c r="M167" i="2"/>
  <c r="N167" i="2"/>
  <c r="K168" i="2"/>
  <c r="L168" i="2"/>
  <c r="M168" i="2"/>
  <c r="N168" i="2"/>
  <c r="K170" i="2"/>
  <c r="L170" i="2"/>
  <c r="M170" i="2"/>
  <c r="N170" i="2"/>
  <c r="K172" i="2"/>
  <c r="L172" i="2"/>
  <c r="M172" i="2"/>
  <c r="N172" i="2"/>
  <c r="K173" i="2"/>
  <c r="L173" i="2"/>
  <c r="M173" i="2"/>
  <c r="N173" i="2"/>
  <c r="K174" i="2"/>
  <c r="L174" i="2"/>
  <c r="M174" i="2"/>
  <c r="N174" i="2"/>
  <c r="K177" i="2"/>
  <c r="L177" i="2"/>
  <c r="M177" i="2"/>
  <c r="N177" i="2"/>
  <c r="K178" i="2"/>
  <c r="L178" i="2"/>
  <c r="M178" i="2"/>
  <c r="N178" i="2"/>
  <c r="K179" i="2"/>
  <c r="L179" i="2"/>
  <c r="M179" i="2"/>
  <c r="N179" i="2"/>
  <c r="K180" i="2"/>
  <c r="L180" i="2"/>
  <c r="M180" i="2"/>
  <c r="N180" i="2"/>
  <c r="K181" i="2"/>
  <c r="L181" i="2"/>
  <c r="M181" i="2"/>
  <c r="N181" i="2"/>
  <c r="K182" i="2"/>
  <c r="L182" i="2"/>
  <c r="M182" i="2"/>
  <c r="N182" i="2"/>
  <c r="K183" i="2"/>
  <c r="L183" i="2"/>
  <c r="M183" i="2"/>
  <c r="N183" i="2"/>
  <c r="K184" i="2"/>
  <c r="L184" i="2"/>
  <c r="M184" i="2"/>
  <c r="N184" i="2"/>
  <c r="K185" i="2"/>
  <c r="L185" i="2"/>
  <c r="M185" i="2"/>
  <c r="N185" i="2"/>
  <c r="K186" i="2"/>
  <c r="L186" i="2"/>
  <c r="M186" i="2"/>
  <c r="N186" i="2"/>
  <c r="K187" i="2"/>
  <c r="L187" i="2"/>
  <c r="M187" i="2"/>
  <c r="N187" i="2"/>
  <c r="K188" i="2"/>
  <c r="L188" i="2"/>
  <c r="M188" i="2"/>
  <c r="N188" i="2"/>
  <c r="K189" i="2"/>
  <c r="L189" i="2"/>
  <c r="M189" i="2"/>
  <c r="N189" i="2"/>
  <c r="K190" i="2"/>
  <c r="L190" i="2"/>
  <c r="M190" i="2"/>
  <c r="N190" i="2"/>
  <c r="K191" i="2"/>
  <c r="L191" i="2"/>
  <c r="M191" i="2"/>
  <c r="N191" i="2"/>
  <c r="K192" i="2"/>
  <c r="L192" i="2"/>
  <c r="M192" i="2"/>
  <c r="N192" i="2"/>
  <c r="K225" i="2"/>
  <c r="L225" i="2"/>
  <c r="M225" i="2"/>
  <c r="N225" i="2"/>
  <c r="K226" i="2"/>
  <c r="L226" i="2"/>
  <c r="M226" i="2"/>
  <c r="N226" i="2"/>
  <c r="K227" i="2"/>
  <c r="L227" i="2"/>
  <c r="M227" i="2"/>
  <c r="N227" i="2"/>
  <c r="K231" i="2"/>
  <c r="L231" i="2"/>
  <c r="M231" i="2"/>
  <c r="N231" i="2"/>
  <c r="K230" i="2"/>
  <c r="L230" i="2"/>
  <c r="M230" i="2"/>
  <c r="N230" i="2"/>
  <c r="K232" i="2"/>
  <c r="L232" i="2"/>
  <c r="M232" i="2"/>
  <c r="N232" i="2"/>
  <c r="K233" i="2"/>
  <c r="L233" i="2"/>
  <c r="M233" i="2"/>
  <c r="N233" i="2"/>
  <c r="K234" i="2"/>
  <c r="L234" i="2"/>
  <c r="M234" i="2"/>
  <c r="N234" i="2"/>
  <c r="K235" i="2"/>
  <c r="L235" i="2"/>
  <c r="M235" i="2"/>
  <c r="N235" i="2"/>
  <c r="K238" i="2"/>
  <c r="L238" i="2"/>
  <c r="M238" i="2"/>
  <c r="N238" i="2"/>
  <c r="K237" i="2"/>
  <c r="L237" i="2"/>
  <c r="M237" i="2"/>
  <c r="N237" i="2"/>
  <c r="K239" i="2"/>
  <c r="L239" i="2"/>
  <c r="M239" i="2"/>
  <c r="N239" i="2"/>
  <c r="K240" i="2"/>
  <c r="L240" i="2"/>
  <c r="M240" i="2"/>
  <c r="N240" i="2"/>
  <c r="K244" i="2"/>
  <c r="L244" i="2"/>
  <c r="M244" i="2"/>
  <c r="N244" i="2"/>
  <c r="K241" i="2"/>
  <c r="L241" i="2"/>
  <c r="M241" i="2"/>
  <c r="N241" i="2"/>
  <c r="K255" i="2"/>
  <c r="L255" i="2"/>
  <c r="M255" i="2"/>
  <c r="N255" i="2"/>
  <c r="K253" i="2"/>
  <c r="L253" i="2"/>
  <c r="M253" i="2"/>
  <c r="N253" i="2"/>
  <c r="K254" i="2"/>
  <c r="L254" i="2"/>
  <c r="M254" i="2"/>
  <c r="N254" i="2"/>
  <c r="K260" i="2"/>
  <c r="L260" i="2"/>
  <c r="M260" i="2"/>
  <c r="N260" i="2"/>
  <c r="K256" i="2"/>
  <c r="L256" i="2"/>
  <c r="M256" i="2"/>
  <c r="N256" i="2"/>
  <c r="K262" i="2"/>
  <c r="L262" i="2"/>
  <c r="M262" i="2"/>
  <c r="N262" i="2"/>
  <c r="K263" i="2"/>
  <c r="L263" i="2"/>
  <c r="M263" i="2"/>
  <c r="N263" i="2"/>
  <c r="K264" i="2"/>
  <c r="L264" i="2"/>
  <c r="M264" i="2"/>
  <c r="N264" i="2"/>
  <c r="K265" i="2"/>
  <c r="L265" i="2"/>
  <c r="M265" i="2"/>
  <c r="N265" i="2"/>
  <c r="K266" i="2"/>
  <c r="L266" i="2"/>
  <c r="M266" i="2"/>
  <c r="N266" i="2"/>
  <c r="K268" i="2"/>
  <c r="L268" i="2"/>
  <c r="M268" i="2"/>
  <c r="N268" i="2"/>
  <c r="K276" i="2"/>
  <c r="L276" i="2"/>
  <c r="M276" i="2"/>
  <c r="N276" i="2"/>
  <c r="K278" i="2"/>
  <c r="L278" i="2"/>
  <c r="M278" i="2"/>
  <c r="N278" i="2"/>
  <c r="K279" i="2"/>
  <c r="L279" i="2"/>
  <c r="M279" i="2"/>
  <c r="N279" i="2"/>
  <c r="K283" i="2"/>
  <c r="L283" i="2"/>
  <c r="M283" i="2"/>
  <c r="N283" i="2"/>
  <c r="K282" i="2"/>
  <c r="L282" i="2"/>
  <c r="M282" i="2"/>
  <c r="N282" i="2"/>
  <c r="K285" i="2"/>
  <c r="L285" i="2"/>
  <c r="M285" i="2"/>
  <c r="N285" i="2"/>
  <c r="K287" i="2"/>
  <c r="L287" i="2"/>
  <c r="M287" i="2"/>
  <c r="N287" i="2"/>
  <c r="K288" i="2"/>
  <c r="L288" i="2"/>
  <c r="M288" i="2"/>
  <c r="N288" i="2"/>
  <c r="K293" i="2"/>
  <c r="L293" i="2"/>
  <c r="M293" i="2"/>
  <c r="N293" i="2"/>
  <c r="K290" i="2"/>
  <c r="L290" i="2"/>
  <c r="M290" i="2"/>
  <c r="N290" i="2"/>
  <c r="K291" i="2"/>
  <c r="L291" i="2"/>
  <c r="M291" i="2"/>
  <c r="N291" i="2"/>
  <c r="K292" i="2"/>
  <c r="L292" i="2"/>
  <c r="M292" i="2"/>
  <c r="N292" i="2"/>
  <c r="K296" i="2"/>
  <c r="L296" i="2"/>
  <c r="M296" i="2"/>
  <c r="N296" i="2"/>
  <c r="K295" i="2"/>
  <c r="L295" i="2"/>
  <c r="M295" i="2"/>
  <c r="N295" i="2"/>
  <c r="K298" i="2"/>
  <c r="L298" i="2"/>
  <c r="M298" i="2"/>
  <c r="N298" i="2"/>
  <c r="K297" i="2"/>
  <c r="L297" i="2"/>
  <c r="M297" i="2"/>
  <c r="N297" i="2"/>
  <c r="K299" i="2"/>
  <c r="L299" i="2"/>
  <c r="M299" i="2"/>
  <c r="N299" i="2"/>
  <c r="K303" i="2"/>
  <c r="L303" i="2"/>
  <c r="M303" i="2"/>
  <c r="N303" i="2"/>
  <c r="K304" i="2"/>
  <c r="L304" i="2"/>
  <c r="M304" i="2"/>
  <c r="N304" i="2"/>
  <c r="K301" i="2"/>
  <c r="L301" i="2"/>
  <c r="M301" i="2"/>
  <c r="N301" i="2"/>
  <c r="K302" i="2"/>
  <c r="L302" i="2"/>
  <c r="M302" i="2"/>
  <c r="N302" i="2"/>
  <c r="K308" i="2"/>
  <c r="L308" i="2"/>
  <c r="M308" i="2"/>
  <c r="N308" i="2"/>
  <c r="K306" i="2"/>
  <c r="L306" i="2"/>
  <c r="M306" i="2"/>
  <c r="N306" i="2"/>
  <c r="K311" i="2"/>
  <c r="L311" i="2"/>
  <c r="M311" i="2"/>
  <c r="N311" i="2"/>
  <c r="K314" i="2"/>
  <c r="L314" i="2"/>
  <c r="M314" i="2"/>
  <c r="N314" i="2"/>
  <c r="K315" i="2"/>
  <c r="L315" i="2"/>
  <c r="M315" i="2"/>
  <c r="N315" i="2"/>
  <c r="K316" i="2"/>
  <c r="L316" i="2"/>
  <c r="M316" i="2"/>
  <c r="N316" i="2"/>
  <c r="K317" i="2"/>
  <c r="L317" i="2"/>
  <c r="M317" i="2"/>
  <c r="N317" i="2"/>
  <c r="K313" i="2"/>
  <c r="L313" i="2"/>
  <c r="M313" i="2"/>
  <c r="N313" i="2"/>
  <c r="K319" i="2"/>
  <c r="L319" i="2"/>
  <c r="M319" i="2"/>
  <c r="N319" i="2"/>
  <c r="K320" i="2"/>
  <c r="L320" i="2"/>
  <c r="M320" i="2"/>
  <c r="N320" i="2"/>
  <c r="K318" i="2"/>
  <c r="L318" i="2"/>
  <c r="M318" i="2"/>
  <c r="N318" i="2"/>
  <c r="K322" i="2"/>
  <c r="L322" i="2"/>
  <c r="M322" i="2"/>
  <c r="N322" i="2"/>
  <c r="K324" i="2"/>
  <c r="L324" i="2"/>
  <c r="M324" i="2"/>
  <c r="N324" i="2"/>
  <c r="K326" i="2"/>
  <c r="L326" i="2"/>
  <c r="M326" i="2"/>
  <c r="N326" i="2"/>
  <c r="K328" i="2"/>
  <c r="L328" i="2"/>
  <c r="M328" i="2"/>
  <c r="N328" i="2"/>
  <c r="K327" i="2"/>
  <c r="L327" i="2"/>
  <c r="M327" i="2"/>
  <c r="N327" i="2"/>
  <c r="K329" i="2"/>
  <c r="L329" i="2"/>
  <c r="M329" i="2"/>
  <c r="N329" i="2"/>
  <c r="K330" i="2"/>
  <c r="L330" i="2"/>
  <c r="M330" i="2"/>
  <c r="N330" i="2"/>
  <c r="K332" i="2"/>
  <c r="L332" i="2"/>
  <c r="M332" i="2"/>
  <c r="N332" i="2"/>
  <c r="K333" i="2"/>
  <c r="L333" i="2"/>
  <c r="M333" i="2"/>
  <c r="N333" i="2"/>
  <c r="K331" i="2"/>
  <c r="L331" i="2"/>
  <c r="M331" i="2"/>
  <c r="N331" i="2"/>
  <c r="K335" i="2"/>
  <c r="L335" i="2"/>
  <c r="M335" i="2"/>
  <c r="N335" i="2"/>
  <c r="K336" i="2"/>
  <c r="L336" i="2"/>
  <c r="M336" i="2"/>
  <c r="N336" i="2"/>
  <c r="K337" i="2"/>
  <c r="L337" i="2"/>
  <c r="M337" i="2"/>
  <c r="N337" i="2"/>
  <c r="K338" i="2"/>
  <c r="L338" i="2"/>
  <c r="M338" i="2"/>
  <c r="N338" i="2"/>
  <c r="K339" i="2"/>
  <c r="L339" i="2"/>
  <c r="M339" i="2"/>
  <c r="N339" i="2"/>
  <c r="K344" i="2"/>
  <c r="L344" i="2"/>
  <c r="M344" i="2"/>
  <c r="N344" i="2"/>
  <c r="K347" i="2"/>
  <c r="L347" i="2"/>
  <c r="M347" i="2"/>
  <c r="N347" i="2"/>
  <c r="K345" i="2"/>
  <c r="L345" i="2"/>
  <c r="M345" i="2"/>
  <c r="N345" i="2"/>
  <c r="K346" i="2"/>
  <c r="L346" i="2"/>
  <c r="M346" i="2"/>
  <c r="N346" i="2"/>
  <c r="K350" i="2"/>
  <c r="L350" i="2"/>
  <c r="M350" i="2"/>
  <c r="N350" i="2"/>
  <c r="K351" i="2"/>
  <c r="L351" i="2"/>
  <c r="M351" i="2"/>
  <c r="N351" i="2"/>
  <c r="K353" i="2"/>
  <c r="L353" i="2"/>
  <c r="M353" i="2"/>
  <c r="N353" i="2"/>
  <c r="K352" i="2"/>
  <c r="L352" i="2"/>
  <c r="M352" i="2"/>
  <c r="N352" i="2"/>
  <c r="K354" i="2"/>
  <c r="L354" i="2"/>
  <c r="M354" i="2"/>
  <c r="N354" i="2"/>
  <c r="K363" i="2"/>
  <c r="L363" i="2"/>
  <c r="M363" i="2"/>
  <c r="N363" i="2"/>
  <c r="K366" i="2"/>
  <c r="L366" i="2"/>
  <c r="M366" i="2"/>
  <c r="N366" i="2"/>
  <c r="K368" i="2"/>
  <c r="L368" i="2"/>
  <c r="M368" i="2"/>
  <c r="N368" i="2"/>
  <c r="K367" i="2"/>
  <c r="L367" i="2"/>
  <c r="M367" i="2"/>
  <c r="N367" i="2"/>
  <c r="K373" i="2"/>
  <c r="L373" i="2"/>
  <c r="M373" i="2"/>
  <c r="N373" i="2"/>
  <c r="K374" i="2"/>
  <c r="L374" i="2"/>
  <c r="M374" i="2"/>
  <c r="N374" i="2"/>
  <c r="K370" i="2"/>
  <c r="L370" i="2"/>
  <c r="M370" i="2"/>
  <c r="N370" i="2"/>
  <c r="K371" i="2"/>
  <c r="L371" i="2"/>
  <c r="M371" i="2"/>
  <c r="N371" i="2"/>
  <c r="K372" i="2"/>
  <c r="L372" i="2"/>
  <c r="M372" i="2"/>
  <c r="N372" i="2"/>
  <c r="K377" i="2"/>
  <c r="L377" i="2"/>
  <c r="M377" i="2"/>
  <c r="N377" i="2"/>
  <c r="K376" i="2"/>
  <c r="L376" i="2"/>
  <c r="M376" i="2"/>
  <c r="N376" i="2"/>
  <c r="K378" i="2"/>
  <c r="L378" i="2"/>
  <c r="M378" i="2"/>
  <c r="N378" i="2"/>
  <c r="K379" i="2"/>
  <c r="L379" i="2"/>
  <c r="M379" i="2"/>
  <c r="N379" i="2"/>
  <c r="K380" i="2"/>
  <c r="L380" i="2"/>
  <c r="M380" i="2"/>
  <c r="N380" i="2"/>
  <c r="K381" i="2"/>
  <c r="L381" i="2"/>
  <c r="M381" i="2"/>
  <c r="N381" i="2"/>
  <c r="K383" i="2"/>
  <c r="L383" i="2"/>
  <c r="M383" i="2"/>
  <c r="N383" i="2"/>
  <c r="K384" i="2"/>
  <c r="L384" i="2"/>
  <c r="M384" i="2"/>
  <c r="N384" i="2"/>
  <c r="K385" i="2"/>
  <c r="L385" i="2"/>
  <c r="M385" i="2"/>
  <c r="N385" i="2"/>
  <c r="K382" i="2"/>
  <c r="L382" i="2"/>
  <c r="M382" i="2"/>
  <c r="N382" i="2"/>
  <c r="K390" i="2"/>
  <c r="L390" i="2"/>
  <c r="M390" i="2"/>
  <c r="N390" i="2"/>
  <c r="K388" i="2"/>
  <c r="L388" i="2"/>
  <c r="M388" i="2"/>
  <c r="N388" i="2"/>
  <c r="K397" i="2"/>
  <c r="L397" i="2"/>
  <c r="M397" i="2"/>
  <c r="N397" i="2"/>
  <c r="K396" i="2"/>
  <c r="L396" i="2"/>
  <c r="M396" i="2"/>
  <c r="N396" i="2"/>
  <c r="K398" i="2"/>
  <c r="L398" i="2"/>
  <c r="M398" i="2"/>
  <c r="N398" i="2"/>
  <c r="K399" i="2"/>
  <c r="L399" i="2"/>
  <c r="M399" i="2"/>
  <c r="N399" i="2"/>
  <c r="K402" i="2"/>
  <c r="L402" i="2"/>
  <c r="M402" i="2"/>
  <c r="N402" i="2"/>
  <c r="K403" i="2"/>
  <c r="L403" i="2"/>
  <c r="M403" i="2"/>
  <c r="N403" i="2"/>
  <c r="K404" i="2"/>
  <c r="L404" i="2"/>
  <c r="M404" i="2"/>
  <c r="N404" i="2"/>
  <c r="K412" i="2"/>
  <c r="L412" i="2"/>
  <c r="M412" i="2"/>
  <c r="N412" i="2"/>
  <c r="K413" i="2"/>
  <c r="L413" i="2"/>
  <c r="M413" i="2"/>
  <c r="N413" i="2"/>
  <c r="K414" i="2"/>
  <c r="L414" i="2"/>
  <c r="M414" i="2"/>
  <c r="N414" i="2"/>
  <c r="K415" i="2"/>
  <c r="L415" i="2"/>
  <c r="M415" i="2"/>
  <c r="N415" i="2"/>
  <c r="K416" i="2"/>
  <c r="L416" i="2"/>
  <c r="M416" i="2"/>
  <c r="N416" i="2"/>
  <c r="K417" i="2"/>
  <c r="L417" i="2"/>
  <c r="M417" i="2"/>
  <c r="N417" i="2"/>
  <c r="K418" i="2"/>
  <c r="L418" i="2"/>
  <c r="M418" i="2"/>
  <c r="N418" i="2"/>
  <c r="K422" i="2"/>
  <c r="L422" i="2"/>
  <c r="M422" i="2"/>
  <c r="N422" i="2"/>
  <c r="K423" i="2"/>
  <c r="L423" i="2"/>
  <c r="M423" i="2"/>
  <c r="N423" i="2"/>
  <c r="K424" i="2"/>
  <c r="L424" i="2"/>
  <c r="M424" i="2"/>
  <c r="N424" i="2"/>
  <c r="K425" i="2"/>
  <c r="L425" i="2"/>
  <c r="M425" i="2"/>
  <c r="N425" i="2"/>
  <c r="K426" i="2"/>
  <c r="L426" i="2"/>
  <c r="M426" i="2"/>
  <c r="N426" i="2"/>
  <c r="K427" i="2"/>
  <c r="L427" i="2"/>
  <c r="M427" i="2"/>
  <c r="N427" i="2"/>
  <c r="K428" i="2"/>
  <c r="L428" i="2"/>
  <c r="M428" i="2"/>
  <c r="N428" i="2"/>
  <c r="K431" i="2"/>
  <c r="L431" i="2"/>
  <c r="M431" i="2"/>
  <c r="N431" i="2"/>
  <c r="K434" i="2"/>
  <c r="L434" i="2"/>
  <c r="M434" i="2"/>
  <c r="N434" i="2"/>
  <c r="K435" i="2"/>
  <c r="L435" i="2"/>
  <c r="M435" i="2"/>
  <c r="N435" i="2"/>
  <c r="K436" i="2"/>
  <c r="L436" i="2"/>
  <c r="M436" i="2"/>
  <c r="N436" i="2"/>
  <c r="K441" i="2"/>
  <c r="L441" i="2"/>
  <c r="M441" i="2"/>
  <c r="N441" i="2"/>
  <c r="K442" i="2"/>
  <c r="L442" i="2"/>
  <c r="M442" i="2"/>
  <c r="N442" i="2"/>
  <c r="K443" i="2"/>
  <c r="L443" i="2"/>
  <c r="M443" i="2"/>
  <c r="N443" i="2"/>
  <c r="K438" i="2"/>
  <c r="L438" i="2"/>
  <c r="M438" i="2"/>
  <c r="N438" i="2"/>
  <c r="K439" i="2"/>
  <c r="L439" i="2"/>
  <c r="M439" i="2"/>
  <c r="N439" i="2"/>
  <c r="K452" i="2"/>
  <c r="L452" i="2"/>
  <c r="M452" i="2"/>
  <c r="N452" i="2"/>
  <c r="K453" i="2"/>
  <c r="L453" i="2"/>
  <c r="M453" i="2"/>
  <c r="N453" i="2"/>
  <c r="K455" i="2"/>
  <c r="L455" i="2"/>
  <c r="M455" i="2"/>
  <c r="N455" i="2"/>
  <c r="K456" i="2"/>
  <c r="L456" i="2"/>
  <c r="M456" i="2"/>
  <c r="N456" i="2"/>
  <c r="K458" i="2"/>
  <c r="L458" i="2"/>
  <c r="M458" i="2"/>
  <c r="N458" i="2"/>
  <c r="K460" i="2"/>
  <c r="L460" i="2"/>
  <c r="M460" i="2"/>
  <c r="N460" i="2"/>
  <c r="K462" i="2"/>
  <c r="L462" i="2"/>
  <c r="M462" i="2"/>
  <c r="N462" i="2"/>
  <c r="K466" i="2"/>
  <c r="L466" i="2"/>
  <c r="M466" i="2"/>
  <c r="N466" i="2"/>
  <c r="K467" i="2"/>
  <c r="L467" i="2"/>
  <c r="M467" i="2"/>
  <c r="N467" i="2"/>
  <c r="K468" i="2"/>
  <c r="L468" i="2"/>
  <c r="M468" i="2"/>
  <c r="N468" i="2"/>
  <c r="K469" i="2"/>
  <c r="L469" i="2"/>
  <c r="M469" i="2"/>
  <c r="N469" i="2"/>
  <c r="K470" i="2"/>
  <c r="L470" i="2"/>
  <c r="M470" i="2"/>
  <c r="N470" i="2"/>
  <c r="K465" i="2"/>
  <c r="L465" i="2"/>
  <c r="M465" i="2"/>
  <c r="N465" i="2"/>
  <c r="K471" i="2"/>
  <c r="L471" i="2"/>
  <c r="M471" i="2"/>
  <c r="N471" i="2"/>
  <c r="K473" i="2"/>
  <c r="L473" i="2"/>
  <c r="M473" i="2"/>
  <c r="N473" i="2"/>
  <c r="K474" i="2"/>
  <c r="L474" i="2"/>
  <c r="M474" i="2"/>
  <c r="N474" i="2"/>
  <c r="K475" i="2"/>
  <c r="L475" i="2"/>
  <c r="M475" i="2"/>
  <c r="N475" i="2"/>
  <c r="K476" i="2"/>
  <c r="L476" i="2"/>
  <c r="M476" i="2"/>
  <c r="N476" i="2"/>
  <c r="K477" i="2"/>
  <c r="L477" i="2"/>
  <c r="M477" i="2"/>
  <c r="N477" i="2"/>
  <c r="K478" i="2"/>
  <c r="L478" i="2"/>
  <c r="M478" i="2"/>
  <c r="N478" i="2"/>
  <c r="K479" i="2"/>
  <c r="L479" i="2"/>
  <c r="M479" i="2"/>
  <c r="N479" i="2"/>
  <c r="K484" i="2"/>
  <c r="L484" i="2"/>
  <c r="M484" i="2"/>
  <c r="N484" i="2"/>
  <c r="K480" i="2"/>
  <c r="L480" i="2"/>
  <c r="M480" i="2"/>
  <c r="N480" i="2"/>
  <c r="K481" i="2"/>
  <c r="L481" i="2"/>
  <c r="M481" i="2"/>
  <c r="N481" i="2"/>
  <c r="K482" i="2"/>
  <c r="L482" i="2"/>
  <c r="M482" i="2"/>
  <c r="N482" i="2"/>
  <c r="K483" i="2"/>
  <c r="L483" i="2"/>
  <c r="M483" i="2"/>
  <c r="N483" i="2"/>
  <c r="K492" i="2"/>
  <c r="L492" i="2"/>
  <c r="M492" i="2"/>
  <c r="N492" i="2"/>
  <c r="K494" i="2"/>
  <c r="L494" i="2"/>
  <c r="M494" i="2"/>
  <c r="N494" i="2"/>
  <c r="K493" i="2"/>
  <c r="L493" i="2"/>
  <c r="M493" i="2"/>
  <c r="N493" i="2"/>
  <c r="K495" i="2"/>
  <c r="L495" i="2"/>
  <c r="M495" i="2"/>
  <c r="N495" i="2"/>
  <c r="K497" i="2"/>
  <c r="L497" i="2"/>
  <c r="M497" i="2"/>
  <c r="N497" i="2"/>
  <c r="K498" i="2"/>
  <c r="L498" i="2"/>
  <c r="M498" i="2"/>
  <c r="N498" i="2"/>
  <c r="K499" i="2"/>
  <c r="L499" i="2"/>
  <c r="M499" i="2"/>
  <c r="N499" i="2"/>
  <c r="K501" i="2"/>
  <c r="L501" i="2"/>
  <c r="M501" i="2"/>
  <c r="N501" i="2"/>
  <c r="K500" i="2"/>
  <c r="L500" i="2"/>
  <c r="M500" i="2"/>
  <c r="N500" i="2"/>
  <c r="K505" i="2"/>
  <c r="L505" i="2"/>
  <c r="M505" i="2"/>
  <c r="N505" i="2"/>
  <c r="K506" i="2"/>
  <c r="L506" i="2"/>
  <c r="M506" i="2"/>
  <c r="N506" i="2"/>
  <c r="K502" i="2"/>
  <c r="L502" i="2"/>
  <c r="M502" i="2"/>
  <c r="N502" i="2"/>
  <c r="K507" i="2"/>
  <c r="L507" i="2"/>
  <c r="M507" i="2"/>
  <c r="N507" i="2"/>
  <c r="K503" i="2"/>
  <c r="L503" i="2"/>
  <c r="M503" i="2"/>
  <c r="N503" i="2"/>
  <c r="K512" i="2"/>
  <c r="L512" i="2"/>
  <c r="M512" i="2"/>
  <c r="N512" i="2"/>
  <c r="K513" i="2"/>
  <c r="L513" i="2"/>
  <c r="M513" i="2"/>
  <c r="N513" i="2"/>
  <c r="K510" i="2"/>
  <c r="L510" i="2"/>
  <c r="M510" i="2"/>
  <c r="N510" i="2"/>
  <c r="K511" i="2"/>
  <c r="L511" i="2"/>
  <c r="M511" i="2"/>
  <c r="N511" i="2"/>
  <c r="K514" i="2"/>
  <c r="L514" i="2"/>
  <c r="M514" i="2"/>
  <c r="N514" i="2"/>
  <c r="K515" i="2"/>
  <c r="L515" i="2"/>
  <c r="M515" i="2"/>
  <c r="N515" i="2"/>
  <c r="K516" i="2"/>
  <c r="L516" i="2"/>
  <c r="M516" i="2"/>
  <c r="N516" i="2"/>
  <c r="K518" i="2"/>
  <c r="L518" i="2"/>
  <c r="M518" i="2"/>
  <c r="N518" i="2"/>
  <c r="K517" i="2"/>
  <c r="L517" i="2"/>
  <c r="M517" i="2"/>
  <c r="N517" i="2"/>
  <c r="K521" i="2"/>
  <c r="L521" i="2"/>
  <c r="M521" i="2"/>
  <c r="N521" i="2"/>
  <c r="K522" i="2"/>
  <c r="L522" i="2"/>
  <c r="M522" i="2"/>
  <c r="N522" i="2"/>
  <c r="K524" i="2"/>
  <c r="L524" i="2"/>
  <c r="M524" i="2"/>
  <c r="N524" i="2"/>
  <c r="K525" i="2"/>
  <c r="L525" i="2"/>
  <c r="M525" i="2"/>
  <c r="N525" i="2"/>
  <c r="K527" i="2"/>
  <c r="L527" i="2"/>
  <c r="M527" i="2"/>
  <c r="N527" i="2"/>
  <c r="K526" i="2"/>
  <c r="L526" i="2"/>
  <c r="M526" i="2"/>
  <c r="N526" i="2"/>
  <c r="K528" i="2"/>
  <c r="L528" i="2"/>
  <c r="M528" i="2"/>
  <c r="N528" i="2"/>
  <c r="K529" i="2"/>
  <c r="L529" i="2"/>
  <c r="M529" i="2"/>
  <c r="N529" i="2"/>
  <c r="K530" i="2"/>
  <c r="L530" i="2"/>
  <c r="M530" i="2"/>
  <c r="N530" i="2"/>
  <c r="K531" i="2"/>
  <c r="L531" i="2"/>
  <c r="M531" i="2"/>
  <c r="N531" i="2"/>
  <c r="K532" i="2"/>
  <c r="L532" i="2"/>
  <c r="M532" i="2"/>
  <c r="N532" i="2"/>
  <c r="K535" i="2"/>
  <c r="L535" i="2"/>
  <c r="M535" i="2"/>
  <c r="N535" i="2"/>
  <c r="K536" i="2"/>
  <c r="L536" i="2"/>
  <c r="M536" i="2"/>
  <c r="N536" i="2"/>
  <c r="K540" i="2"/>
  <c r="L540" i="2"/>
  <c r="M540" i="2"/>
  <c r="N540" i="2"/>
  <c r="K541" i="2"/>
  <c r="L541" i="2"/>
  <c r="M541" i="2"/>
  <c r="N541" i="2"/>
  <c r="K544" i="2"/>
  <c r="L544" i="2"/>
  <c r="M544" i="2"/>
  <c r="N544" i="2"/>
  <c r="K545" i="2"/>
  <c r="L545" i="2"/>
  <c r="M545" i="2"/>
  <c r="N545" i="2"/>
  <c r="K547" i="2"/>
  <c r="L547" i="2"/>
  <c r="M547" i="2"/>
  <c r="N547" i="2"/>
  <c r="K548" i="2"/>
  <c r="L548" i="2"/>
  <c r="M548" i="2"/>
  <c r="N548" i="2"/>
  <c r="K550" i="2"/>
  <c r="L550" i="2"/>
  <c r="M550" i="2"/>
  <c r="N550" i="2"/>
  <c r="K554" i="2"/>
  <c r="L554" i="2"/>
  <c r="M554" i="2"/>
  <c r="N554" i="2"/>
  <c r="K555" i="2"/>
  <c r="L555" i="2"/>
  <c r="M555" i="2"/>
  <c r="N555" i="2"/>
  <c r="K556" i="2"/>
  <c r="L556" i="2"/>
  <c r="M556" i="2"/>
  <c r="N556" i="2"/>
  <c r="K557" i="2"/>
  <c r="L557" i="2"/>
  <c r="M557" i="2"/>
  <c r="N557" i="2"/>
  <c r="K558" i="2"/>
  <c r="L558" i="2"/>
  <c r="M558" i="2"/>
  <c r="N558" i="2"/>
  <c r="K559" i="2"/>
  <c r="L559" i="2"/>
  <c r="M559" i="2"/>
  <c r="N559" i="2"/>
  <c r="K560" i="2"/>
  <c r="L560" i="2"/>
  <c r="M560" i="2"/>
  <c r="N560" i="2"/>
  <c r="K561" i="2"/>
  <c r="L561" i="2"/>
  <c r="M561" i="2"/>
  <c r="N561" i="2"/>
  <c r="K562" i="2"/>
  <c r="L562" i="2"/>
  <c r="M562" i="2"/>
  <c r="N562" i="2"/>
  <c r="K572" i="2"/>
  <c r="L572" i="2"/>
  <c r="M572" i="2"/>
  <c r="N572" i="2"/>
  <c r="K565" i="2"/>
  <c r="L565" i="2"/>
  <c r="M565" i="2"/>
  <c r="N565" i="2"/>
  <c r="K566" i="2"/>
  <c r="L566" i="2"/>
  <c r="M566" i="2"/>
  <c r="N566" i="2"/>
  <c r="K567" i="2"/>
  <c r="L567" i="2"/>
  <c r="M567" i="2"/>
  <c r="N567" i="2"/>
  <c r="K568" i="2"/>
  <c r="L568" i="2"/>
  <c r="M568" i="2"/>
  <c r="N568" i="2"/>
  <c r="K569" i="2"/>
  <c r="L569" i="2"/>
  <c r="M569" i="2"/>
  <c r="N569" i="2"/>
  <c r="K570" i="2"/>
  <c r="L570" i="2"/>
  <c r="M570" i="2"/>
  <c r="N570" i="2"/>
  <c r="K571" i="2"/>
  <c r="L571" i="2"/>
  <c r="M571" i="2"/>
  <c r="N571" i="2"/>
  <c r="K589" i="2"/>
  <c r="L589" i="2"/>
  <c r="M589" i="2"/>
  <c r="N589" i="2"/>
  <c r="K573" i="2"/>
  <c r="L573" i="2"/>
  <c r="M573" i="2"/>
  <c r="N573" i="2"/>
  <c r="K574" i="2"/>
  <c r="L574" i="2"/>
  <c r="M574" i="2"/>
  <c r="N574" i="2"/>
  <c r="K575" i="2"/>
  <c r="L575" i="2"/>
  <c r="M575" i="2"/>
  <c r="N575" i="2"/>
  <c r="K576" i="2"/>
  <c r="L576" i="2"/>
  <c r="M576" i="2"/>
  <c r="N576" i="2"/>
  <c r="K577" i="2"/>
  <c r="L577" i="2"/>
  <c r="M577" i="2"/>
  <c r="N577" i="2"/>
  <c r="K578" i="2"/>
  <c r="L578" i="2"/>
  <c r="M578" i="2"/>
  <c r="N578" i="2"/>
  <c r="K579" i="2"/>
  <c r="L579" i="2"/>
  <c r="M579" i="2"/>
  <c r="N579" i="2"/>
  <c r="K580" i="2"/>
  <c r="L580" i="2"/>
  <c r="M580" i="2"/>
  <c r="N580" i="2"/>
  <c r="K581" i="2"/>
  <c r="L581" i="2"/>
  <c r="M581" i="2"/>
  <c r="N581" i="2"/>
  <c r="K582" i="2"/>
  <c r="L582" i="2"/>
  <c r="M582" i="2"/>
  <c r="N582" i="2"/>
  <c r="K583" i="2"/>
  <c r="L583" i="2"/>
  <c r="M583" i="2"/>
  <c r="N583" i="2"/>
  <c r="K584" i="2"/>
  <c r="L584" i="2"/>
  <c r="M584" i="2"/>
  <c r="N584" i="2"/>
  <c r="K585" i="2"/>
  <c r="L585" i="2"/>
  <c r="M585" i="2"/>
  <c r="N585" i="2"/>
  <c r="K586" i="2"/>
  <c r="L586" i="2"/>
  <c r="M586" i="2"/>
  <c r="N586" i="2"/>
  <c r="K590" i="2"/>
  <c r="L590" i="2"/>
  <c r="M590" i="2"/>
  <c r="N590" i="2"/>
  <c r="K594" i="2"/>
  <c r="L594" i="2"/>
  <c r="M594" i="2"/>
  <c r="N594" i="2"/>
  <c r="K595" i="2"/>
  <c r="L595" i="2"/>
  <c r="M595" i="2"/>
  <c r="N595" i="2"/>
  <c r="K591" i="2"/>
  <c r="L591" i="2"/>
  <c r="M591" i="2"/>
  <c r="N591" i="2"/>
  <c r="K592" i="2"/>
  <c r="L592" i="2"/>
  <c r="M592" i="2"/>
  <c r="N592" i="2"/>
  <c r="K593" i="2"/>
  <c r="L593" i="2"/>
  <c r="M593" i="2"/>
  <c r="N593" i="2"/>
  <c r="K604" i="2"/>
  <c r="L604" i="2"/>
  <c r="M604" i="2"/>
  <c r="N604" i="2"/>
  <c r="K609" i="2"/>
  <c r="L609" i="2"/>
  <c r="M609" i="2"/>
  <c r="N609" i="2"/>
  <c r="K607" i="2"/>
  <c r="L607" i="2"/>
  <c r="M607" i="2"/>
  <c r="N607" i="2"/>
  <c r="K606" i="2"/>
  <c r="L606" i="2"/>
  <c r="M606" i="2"/>
  <c r="N606" i="2"/>
  <c r="K612" i="2"/>
  <c r="L612" i="2"/>
  <c r="M612" i="2"/>
  <c r="N612" i="2"/>
  <c r="K616" i="2"/>
  <c r="L616" i="2"/>
  <c r="M616" i="2"/>
  <c r="N616" i="2"/>
  <c r="K621" i="2"/>
  <c r="L621" i="2"/>
  <c r="M621" i="2"/>
  <c r="N621" i="2"/>
  <c r="K617" i="2"/>
  <c r="L617" i="2"/>
  <c r="M617" i="2"/>
  <c r="N617" i="2"/>
  <c r="K623" i="2"/>
  <c r="L623" i="2"/>
  <c r="M623" i="2"/>
  <c r="N623" i="2"/>
  <c r="K633" i="2"/>
  <c r="L633" i="2"/>
  <c r="M633" i="2"/>
  <c r="N633" i="2"/>
  <c r="K625" i="2"/>
  <c r="L625" i="2"/>
  <c r="M625" i="2"/>
  <c r="N625" i="2"/>
  <c r="K626" i="2"/>
  <c r="L626" i="2"/>
  <c r="M626" i="2"/>
  <c r="N626" i="2"/>
  <c r="K627" i="2"/>
  <c r="L627" i="2"/>
  <c r="M627" i="2"/>
  <c r="N627" i="2"/>
  <c r="K628" i="2"/>
  <c r="L628" i="2"/>
  <c r="M628" i="2"/>
  <c r="N628" i="2"/>
  <c r="K635" i="2"/>
  <c r="L635" i="2"/>
  <c r="M635" i="2"/>
  <c r="N635" i="2"/>
  <c r="K639" i="2"/>
  <c r="L639" i="2"/>
  <c r="M639" i="2"/>
  <c r="N639" i="2"/>
  <c r="K640" i="2"/>
  <c r="L640" i="2"/>
  <c r="M640" i="2"/>
  <c r="N640" i="2"/>
  <c r="K637" i="2"/>
  <c r="L637" i="2"/>
  <c r="M637" i="2"/>
  <c r="N637" i="2"/>
  <c r="K642" i="2"/>
  <c r="L642" i="2"/>
  <c r="M642" i="2"/>
  <c r="N642" i="2"/>
  <c r="K643" i="2"/>
  <c r="L643" i="2"/>
  <c r="M643" i="2"/>
  <c r="N643" i="2"/>
  <c r="K646" i="2"/>
  <c r="L646" i="2"/>
  <c r="M646" i="2"/>
  <c r="N646" i="2"/>
  <c r="K648" i="2"/>
  <c r="L648" i="2"/>
  <c r="M648" i="2"/>
  <c r="N648" i="2"/>
  <c r="K650" i="2"/>
  <c r="L650" i="2"/>
  <c r="M650" i="2"/>
  <c r="N650" i="2"/>
  <c r="K651" i="2"/>
  <c r="L651" i="2"/>
  <c r="M651" i="2"/>
  <c r="N651" i="2"/>
  <c r="K652" i="2"/>
  <c r="L652" i="2"/>
  <c r="M652" i="2"/>
  <c r="N652" i="2"/>
  <c r="K656" i="2"/>
  <c r="L656" i="2"/>
  <c r="M656" i="2"/>
  <c r="N656" i="2"/>
  <c r="K653" i="2"/>
  <c r="L653" i="2"/>
  <c r="M653" i="2"/>
  <c r="N653" i="2"/>
  <c r="K659" i="2"/>
  <c r="L659" i="2"/>
  <c r="M659" i="2"/>
  <c r="N659" i="2"/>
  <c r="K661" i="2"/>
  <c r="L661" i="2"/>
  <c r="M661" i="2"/>
  <c r="N661" i="2"/>
  <c r="K662" i="2"/>
  <c r="L662" i="2"/>
  <c r="M662" i="2"/>
  <c r="N662" i="2"/>
  <c r="K665" i="2"/>
  <c r="L665" i="2"/>
  <c r="M665" i="2"/>
  <c r="N665" i="2"/>
  <c r="K666" i="2"/>
  <c r="L666" i="2"/>
  <c r="M666" i="2"/>
  <c r="N666" i="2"/>
  <c r="K667" i="2"/>
  <c r="L667" i="2"/>
  <c r="M667" i="2"/>
  <c r="N667" i="2"/>
  <c r="K668" i="2"/>
  <c r="L668" i="2"/>
  <c r="M668" i="2"/>
  <c r="N668" i="2"/>
  <c r="K669" i="2"/>
  <c r="L669" i="2"/>
  <c r="M669" i="2"/>
  <c r="N669" i="2"/>
  <c r="K674" i="2"/>
  <c r="L674" i="2"/>
  <c r="M674" i="2"/>
  <c r="N674" i="2"/>
  <c r="K675" i="2"/>
  <c r="L675" i="2"/>
  <c r="M675" i="2"/>
  <c r="N675" i="2"/>
  <c r="K676" i="2"/>
  <c r="L676" i="2"/>
  <c r="M676" i="2"/>
  <c r="N676" i="2"/>
  <c r="K680" i="2"/>
  <c r="L680" i="2"/>
  <c r="M680" i="2"/>
  <c r="N680" i="2"/>
  <c r="K681" i="2"/>
  <c r="L681" i="2"/>
  <c r="M681" i="2"/>
  <c r="N681" i="2"/>
  <c r="K679" i="2"/>
  <c r="L679" i="2"/>
  <c r="M679" i="2"/>
  <c r="N679" i="2"/>
  <c r="K684" i="2"/>
  <c r="L684" i="2"/>
  <c r="M684" i="2"/>
  <c r="N684" i="2"/>
  <c r="K685" i="2"/>
  <c r="L685" i="2"/>
  <c r="M685" i="2"/>
  <c r="N685" i="2"/>
  <c r="K683" i="2"/>
  <c r="L683" i="2"/>
  <c r="M683" i="2"/>
  <c r="N683" i="2"/>
  <c r="K689" i="2"/>
  <c r="L689" i="2"/>
  <c r="M689" i="2"/>
  <c r="N689" i="2"/>
  <c r="K690" i="2"/>
  <c r="L690" i="2"/>
  <c r="M690" i="2"/>
  <c r="N690" i="2"/>
  <c r="K688" i="2"/>
  <c r="L688" i="2"/>
  <c r="M688" i="2"/>
  <c r="N688" i="2"/>
  <c r="K691" i="2"/>
  <c r="L691" i="2"/>
  <c r="M691" i="2"/>
  <c r="N691" i="2"/>
  <c r="K692" i="2"/>
  <c r="L692" i="2"/>
  <c r="M692" i="2"/>
  <c r="N692" i="2"/>
  <c r="K698" i="2"/>
  <c r="L698" i="2"/>
  <c r="M698" i="2"/>
  <c r="N698" i="2"/>
  <c r="K699" i="2"/>
  <c r="L699" i="2"/>
  <c r="M699" i="2"/>
  <c r="N699" i="2"/>
  <c r="K700" i="2"/>
  <c r="L700" i="2"/>
  <c r="M700" i="2"/>
  <c r="N700" i="2"/>
  <c r="K701" i="2"/>
  <c r="L701" i="2"/>
  <c r="M701" i="2"/>
  <c r="N701" i="2"/>
  <c r="K702" i="2"/>
  <c r="L702" i="2"/>
  <c r="M702" i="2"/>
  <c r="N702" i="2"/>
  <c r="K703" i="2"/>
  <c r="L703" i="2"/>
  <c r="M703" i="2"/>
  <c r="N703" i="2"/>
  <c r="K704" i="2"/>
  <c r="L704" i="2"/>
  <c r="M704" i="2"/>
  <c r="N704" i="2"/>
  <c r="K705" i="2"/>
  <c r="L705" i="2"/>
  <c r="M705" i="2"/>
  <c r="N705" i="2"/>
  <c r="K706" i="2"/>
  <c r="L706" i="2"/>
  <c r="M706" i="2"/>
  <c r="N706" i="2"/>
  <c r="K707" i="2"/>
  <c r="L707" i="2"/>
  <c r="M707" i="2"/>
  <c r="N707" i="2"/>
  <c r="K708" i="2"/>
  <c r="L708" i="2"/>
  <c r="M708" i="2"/>
  <c r="N708" i="2"/>
  <c r="K709" i="2"/>
  <c r="L709" i="2"/>
  <c r="M709" i="2"/>
  <c r="N709" i="2"/>
  <c r="K710" i="2"/>
  <c r="L710" i="2"/>
  <c r="M710" i="2"/>
  <c r="N710" i="2"/>
  <c r="K711" i="2"/>
  <c r="L711" i="2"/>
  <c r="M711" i="2"/>
  <c r="N711" i="2"/>
  <c r="K712" i="2"/>
  <c r="L712" i="2"/>
  <c r="M712" i="2"/>
  <c r="N712" i="2"/>
  <c r="K713" i="2"/>
  <c r="L713" i="2"/>
  <c r="M713" i="2"/>
  <c r="N713" i="2"/>
  <c r="K714" i="2"/>
  <c r="L714" i="2"/>
  <c r="M714" i="2"/>
  <c r="N714" i="2"/>
  <c r="K715" i="2"/>
  <c r="L715" i="2"/>
  <c r="M715" i="2"/>
  <c r="N715" i="2"/>
  <c r="K716" i="2"/>
  <c r="L716" i="2"/>
  <c r="M716" i="2"/>
  <c r="N716" i="2"/>
  <c r="K717" i="2"/>
  <c r="L717" i="2"/>
  <c r="M717" i="2"/>
  <c r="N717" i="2"/>
  <c r="K718" i="2"/>
  <c r="L718" i="2"/>
  <c r="M718" i="2"/>
  <c r="N718" i="2"/>
  <c r="K719" i="2"/>
  <c r="L719" i="2"/>
  <c r="M719" i="2"/>
  <c r="N719" i="2"/>
  <c r="K720" i="2"/>
  <c r="L720" i="2"/>
  <c r="M720" i="2"/>
  <c r="N720" i="2"/>
  <c r="K721" i="2"/>
  <c r="L721" i="2"/>
  <c r="M721" i="2"/>
  <c r="N721" i="2"/>
  <c r="K722" i="2"/>
  <c r="L722" i="2"/>
  <c r="M722" i="2"/>
  <c r="N722" i="2"/>
  <c r="K723" i="2"/>
  <c r="L723" i="2"/>
  <c r="M723" i="2"/>
  <c r="N723" i="2"/>
  <c r="K724" i="2"/>
  <c r="L724" i="2"/>
  <c r="M724" i="2"/>
  <c r="N724" i="2"/>
  <c r="K725" i="2"/>
  <c r="L725" i="2"/>
  <c r="M725" i="2"/>
  <c r="N725" i="2"/>
  <c r="K726" i="2"/>
  <c r="L726" i="2"/>
  <c r="M726" i="2"/>
  <c r="N726" i="2"/>
  <c r="K727" i="2"/>
  <c r="L727" i="2"/>
  <c r="M727" i="2"/>
  <c r="N727" i="2"/>
  <c r="K728" i="2"/>
  <c r="L728" i="2"/>
  <c r="M728" i="2"/>
  <c r="N728" i="2"/>
  <c r="K729" i="2"/>
  <c r="L729" i="2"/>
  <c r="M729" i="2"/>
  <c r="N729" i="2"/>
  <c r="K730" i="2"/>
  <c r="L730" i="2"/>
  <c r="M730" i="2"/>
  <c r="N730" i="2"/>
  <c r="K731" i="2"/>
  <c r="L731" i="2"/>
  <c r="M731" i="2"/>
  <c r="N731" i="2"/>
  <c r="K732" i="2"/>
  <c r="L732" i="2"/>
  <c r="M732" i="2"/>
  <c r="N732" i="2"/>
  <c r="K733" i="2"/>
  <c r="L733" i="2"/>
  <c r="M733" i="2"/>
  <c r="N733" i="2"/>
  <c r="K734" i="2"/>
  <c r="L734" i="2"/>
  <c r="M734" i="2"/>
  <c r="N734" i="2"/>
  <c r="K735" i="2"/>
  <c r="L735" i="2"/>
  <c r="M735" i="2"/>
  <c r="N735" i="2"/>
  <c r="K736" i="2"/>
  <c r="L736" i="2"/>
  <c r="M736" i="2"/>
  <c r="N736" i="2"/>
  <c r="K737" i="2"/>
  <c r="L737" i="2"/>
  <c r="M737" i="2"/>
  <c r="N737" i="2"/>
  <c r="K738" i="2"/>
  <c r="L738" i="2"/>
  <c r="M738" i="2"/>
  <c r="N738" i="2"/>
  <c r="K739" i="2"/>
  <c r="L739" i="2"/>
  <c r="M739" i="2"/>
  <c r="N739" i="2"/>
  <c r="K740" i="2"/>
  <c r="L740" i="2"/>
  <c r="M740" i="2"/>
  <c r="N740" i="2"/>
  <c r="K741" i="2"/>
  <c r="L741" i="2"/>
  <c r="M741" i="2"/>
  <c r="N741" i="2"/>
  <c r="K742" i="2"/>
  <c r="L742" i="2"/>
  <c r="M742" i="2"/>
  <c r="N742" i="2"/>
  <c r="K743" i="2"/>
  <c r="L743" i="2"/>
  <c r="M743" i="2"/>
  <c r="N743" i="2"/>
  <c r="K744" i="2"/>
  <c r="L744" i="2"/>
  <c r="M744" i="2"/>
  <c r="N744" i="2"/>
  <c r="K745" i="2"/>
  <c r="L745" i="2"/>
  <c r="M745" i="2"/>
  <c r="N745" i="2"/>
  <c r="K746" i="2"/>
  <c r="L746" i="2"/>
  <c r="M746" i="2"/>
  <c r="N746" i="2"/>
  <c r="K747" i="2"/>
  <c r="L747" i="2"/>
  <c r="M747" i="2"/>
  <c r="N747" i="2"/>
  <c r="K748" i="2"/>
  <c r="L748" i="2"/>
  <c r="M748" i="2"/>
  <c r="N748" i="2"/>
  <c r="K749" i="2"/>
  <c r="L749" i="2"/>
  <c r="M749" i="2"/>
  <c r="N749" i="2"/>
  <c r="K750" i="2"/>
  <c r="L750" i="2"/>
  <c r="M750" i="2"/>
  <c r="N750" i="2"/>
  <c r="K758" i="2"/>
  <c r="L758" i="2"/>
  <c r="M758" i="2"/>
  <c r="N758" i="2"/>
  <c r="K759" i="2"/>
  <c r="L759" i="2"/>
  <c r="M759" i="2"/>
  <c r="N759" i="2"/>
  <c r="K760" i="2"/>
  <c r="L760" i="2"/>
  <c r="M760" i="2"/>
  <c r="N760" i="2"/>
  <c r="K761" i="2"/>
  <c r="L761" i="2"/>
  <c r="M761" i="2"/>
  <c r="N761" i="2"/>
  <c r="K762" i="2"/>
  <c r="L762" i="2"/>
  <c r="M762" i="2"/>
  <c r="N762" i="2"/>
  <c r="K763" i="2"/>
  <c r="L763" i="2"/>
  <c r="M763" i="2"/>
  <c r="N763" i="2"/>
  <c r="K764" i="2"/>
  <c r="L764" i="2"/>
  <c r="M764" i="2"/>
  <c r="N764" i="2"/>
  <c r="K765" i="2"/>
  <c r="L765" i="2"/>
  <c r="M765" i="2"/>
  <c r="N765" i="2"/>
  <c r="K766" i="2"/>
  <c r="L766" i="2"/>
  <c r="M766" i="2"/>
  <c r="N766" i="2"/>
  <c r="K767" i="2"/>
  <c r="L767" i="2"/>
  <c r="M767" i="2"/>
  <c r="N767" i="2"/>
  <c r="K771" i="2"/>
  <c r="L771" i="2"/>
  <c r="M771" i="2"/>
  <c r="N771" i="2"/>
  <c r="K772" i="2"/>
  <c r="L772" i="2"/>
  <c r="M772" i="2"/>
  <c r="N772" i="2"/>
  <c r="K773" i="2"/>
  <c r="L773" i="2"/>
  <c r="M773" i="2"/>
  <c r="N773" i="2"/>
  <c r="K769" i="2"/>
  <c r="L769" i="2"/>
  <c r="M769" i="2"/>
  <c r="N769" i="2"/>
  <c r="K770" i="2"/>
  <c r="L770" i="2"/>
  <c r="M770" i="2"/>
  <c r="N770" i="2"/>
  <c r="K774" i="2"/>
  <c r="L774" i="2"/>
  <c r="M774" i="2"/>
  <c r="N774" i="2"/>
  <c r="K775" i="2"/>
  <c r="L775" i="2"/>
  <c r="M775" i="2"/>
  <c r="N775" i="2"/>
  <c r="K776" i="2"/>
  <c r="L776" i="2"/>
  <c r="M776" i="2"/>
  <c r="N776" i="2"/>
  <c r="K777" i="2"/>
  <c r="L777" i="2"/>
  <c r="M777" i="2"/>
  <c r="N777" i="2"/>
  <c r="K778" i="2"/>
  <c r="L778" i="2"/>
  <c r="M778" i="2"/>
  <c r="N778" i="2"/>
  <c r="K779" i="2"/>
  <c r="L779" i="2"/>
  <c r="M779" i="2"/>
  <c r="N779" i="2"/>
  <c r="K780" i="2"/>
  <c r="L780" i="2"/>
  <c r="M780" i="2"/>
  <c r="N780" i="2"/>
  <c r="K781" i="2"/>
  <c r="L781" i="2"/>
  <c r="M781" i="2"/>
  <c r="N781" i="2"/>
  <c r="K782" i="2"/>
  <c r="L782" i="2"/>
  <c r="M782" i="2"/>
  <c r="N782" i="2"/>
  <c r="K783" i="2"/>
  <c r="L783" i="2"/>
  <c r="M783" i="2"/>
  <c r="N783" i="2"/>
  <c r="K784" i="2"/>
  <c r="L784" i="2"/>
  <c r="M784" i="2"/>
  <c r="N784" i="2"/>
  <c r="K785" i="2"/>
  <c r="L785" i="2"/>
  <c r="M785" i="2"/>
  <c r="N785" i="2"/>
  <c r="K786" i="2"/>
  <c r="L786" i="2"/>
  <c r="M786" i="2"/>
  <c r="N786" i="2"/>
  <c r="K787" i="2"/>
  <c r="L787" i="2"/>
  <c r="M787" i="2"/>
  <c r="N787" i="2"/>
  <c r="K788" i="2"/>
  <c r="L788" i="2"/>
  <c r="M788" i="2"/>
  <c r="N788" i="2"/>
  <c r="K789" i="2"/>
  <c r="L789" i="2"/>
  <c r="M789" i="2"/>
  <c r="N789" i="2"/>
  <c r="K790" i="2"/>
  <c r="L790" i="2"/>
  <c r="M790" i="2"/>
  <c r="N790" i="2"/>
  <c r="K791" i="2"/>
  <c r="L791" i="2"/>
  <c r="M791" i="2"/>
  <c r="N791" i="2"/>
  <c r="K792" i="2"/>
  <c r="L792" i="2"/>
  <c r="M792" i="2"/>
  <c r="N792" i="2"/>
  <c r="K793" i="2"/>
  <c r="L793" i="2"/>
  <c r="M793" i="2"/>
  <c r="N793" i="2"/>
  <c r="K794" i="2"/>
  <c r="L794" i="2"/>
  <c r="M794" i="2"/>
  <c r="N794" i="2"/>
  <c r="K795" i="2"/>
  <c r="L795" i="2"/>
  <c r="M795" i="2"/>
  <c r="N795" i="2"/>
  <c r="K796" i="2"/>
  <c r="L796" i="2"/>
  <c r="M796" i="2"/>
  <c r="N796" i="2"/>
  <c r="K797" i="2"/>
  <c r="L797" i="2"/>
  <c r="M797" i="2"/>
  <c r="N797" i="2"/>
  <c r="K798" i="2"/>
  <c r="L798" i="2"/>
  <c r="M798" i="2"/>
  <c r="N798" i="2"/>
  <c r="K799" i="2"/>
  <c r="L799" i="2"/>
  <c r="M799" i="2"/>
  <c r="N799" i="2"/>
  <c r="K800" i="2"/>
  <c r="L800" i="2"/>
  <c r="M800" i="2"/>
  <c r="N800" i="2"/>
  <c r="K801" i="2"/>
  <c r="L801" i="2"/>
  <c r="M801" i="2"/>
  <c r="N801" i="2"/>
  <c r="K802" i="2"/>
  <c r="L802" i="2"/>
  <c r="M802" i="2"/>
  <c r="N802" i="2"/>
  <c r="K803" i="2"/>
  <c r="L803" i="2"/>
  <c r="M803" i="2"/>
  <c r="N803" i="2"/>
  <c r="K804" i="2"/>
  <c r="L804" i="2"/>
  <c r="M804" i="2"/>
  <c r="N804" i="2"/>
  <c r="K805" i="2"/>
  <c r="L805" i="2"/>
  <c r="M805" i="2"/>
  <c r="N805" i="2"/>
  <c r="K806" i="2"/>
  <c r="L806" i="2"/>
  <c r="M806" i="2"/>
  <c r="N806" i="2"/>
  <c r="K807" i="2"/>
  <c r="L807" i="2"/>
  <c r="M807" i="2"/>
  <c r="N807" i="2"/>
  <c r="K808" i="2"/>
  <c r="L808" i="2"/>
  <c r="M808" i="2"/>
  <c r="N808" i="2"/>
  <c r="K809" i="2"/>
  <c r="L809" i="2"/>
  <c r="M809" i="2"/>
  <c r="N809" i="2"/>
  <c r="K810" i="2"/>
  <c r="L810" i="2"/>
  <c r="M810" i="2"/>
  <c r="N810" i="2"/>
  <c r="K811" i="2"/>
  <c r="L811" i="2"/>
  <c r="M811" i="2"/>
  <c r="N811" i="2"/>
  <c r="K812" i="2"/>
  <c r="L812" i="2"/>
  <c r="M812" i="2"/>
  <c r="N812" i="2"/>
  <c r="K813" i="2"/>
  <c r="L813" i="2"/>
  <c r="M813" i="2"/>
  <c r="N813" i="2"/>
  <c r="K814" i="2"/>
  <c r="L814" i="2"/>
  <c r="M814" i="2"/>
  <c r="N814" i="2"/>
  <c r="K815" i="2"/>
  <c r="L815" i="2"/>
  <c r="M815" i="2"/>
  <c r="N815" i="2"/>
  <c r="K816" i="2"/>
  <c r="L816" i="2"/>
  <c r="M816" i="2"/>
  <c r="N816" i="2"/>
  <c r="K817" i="2"/>
  <c r="L817" i="2"/>
  <c r="M817" i="2"/>
  <c r="N817" i="2"/>
  <c r="K818" i="2"/>
  <c r="L818" i="2"/>
  <c r="M818" i="2"/>
  <c r="N818" i="2"/>
  <c r="K819" i="2"/>
  <c r="L819" i="2"/>
  <c r="M819" i="2"/>
  <c r="N819" i="2"/>
  <c r="K820" i="2"/>
  <c r="L820" i="2"/>
  <c r="M820" i="2"/>
  <c r="N820" i="2"/>
  <c r="K821" i="2"/>
  <c r="L821" i="2"/>
  <c r="M821" i="2"/>
  <c r="N821" i="2"/>
  <c r="K822" i="2"/>
  <c r="L822" i="2"/>
  <c r="M822" i="2"/>
  <c r="N822" i="2"/>
  <c r="K823" i="2"/>
  <c r="L823" i="2"/>
  <c r="M823" i="2"/>
  <c r="N823" i="2"/>
  <c r="K826" i="2"/>
  <c r="L826" i="2"/>
  <c r="M826" i="2"/>
  <c r="N826" i="2"/>
  <c r="K829" i="2"/>
  <c r="L829" i="2"/>
  <c r="M829" i="2"/>
  <c r="N829" i="2"/>
  <c r="K833" i="2"/>
  <c r="L833" i="2"/>
  <c r="M833" i="2"/>
  <c r="N833" i="2"/>
  <c r="K834" i="2"/>
  <c r="L834" i="2"/>
  <c r="M834" i="2"/>
  <c r="N834" i="2"/>
  <c r="K835" i="2"/>
  <c r="L835" i="2"/>
  <c r="M835" i="2"/>
  <c r="N835" i="2"/>
  <c r="K838" i="2"/>
  <c r="L838" i="2"/>
  <c r="M838" i="2"/>
  <c r="N838" i="2"/>
  <c r="K837" i="2"/>
  <c r="L837" i="2"/>
  <c r="M837" i="2"/>
  <c r="N837" i="2"/>
  <c r="K840" i="2"/>
  <c r="L840" i="2"/>
  <c r="M840" i="2"/>
  <c r="N840" i="2"/>
  <c r="K841" i="2"/>
  <c r="L841" i="2"/>
  <c r="M841" i="2"/>
  <c r="N841" i="2"/>
  <c r="K843" i="2"/>
  <c r="L843" i="2"/>
  <c r="M843" i="2"/>
  <c r="N843" i="2"/>
  <c r="K842" i="2"/>
  <c r="L842" i="2"/>
  <c r="M842" i="2"/>
  <c r="N842" i="2"/>
  <c r="K848" i="2"/>
  <c r="L848" i="2"/>
  <c r="M848" i="2"/>
  <c r="N848" i="2"/>
  <c r="K847" i="2"/>
  <c r="L847" i="2"/>
  <c r="M847" i="2"/>
  <c r="N847" i="2"/>
  <c r="K846" i="2"/>
  <c r="L846" i="2"/>
  <c r="M846" i="2"/>
  <c r="N846" i="2"/>
  <c r="K849" i="2"/>
  <c r="L849" i="2"/>
  <c r="M849" i="2"/>
  <c r="N849" i="2"/>
  <c r="K850" i="2"/>
  <c r="L850" i="2"/>
  <c r="M850" i="2"/>
  <c r="N850" i="2"/>
  <c r="K853" i="2"/>
  <c r="L853" i="2"/>
  <c r="M853" i="2"/>
  <c r="N853" i="2"/>
  <c r="K856" i="2"/>
  <c r="L856" i="2"/>
  <c r="M856" i="2"/>
  <c r="N856" i="2"/>
  <c r="K858" i="2"/>
  <c r="L858" i="2"/>
  <c r="M858" i="2"/>
  <c r="N858" i="2"/>
  <c r="K859" i="2"/>
  <c r="L859" i="2"/>
  <c r="M859" i="2"/>
  <c r="N859" i="2"/>
  <c r="K860" i="2"/>
  <c r="L860" i="2"/>
  <c r="M860" i="2"/>
  <c r="N860" i="2"/>
  <c r="K862" i="2"/>
  <c r="L862" i="2"/>
  <c r="M862" i="2"/>
  <c r="N862" i="2"/>
  <c r="K865" i="2"/>
  <c r="L865" i="2"/>
  <c r="M865" i="2"/>
  <c r="N865" i="2"/>
  <c r="K872" i="2"/>
  <c r="L872" i="2"/>
  <c r="M872" i="2"/>
  <c r="N872" i="2"/>
  <c r="K868" i="2"/>
  <c r="L868" i="2"/>
  <c r="M868" i="2"/>
  <c r="N868" i="2"/>
  <c r="K877" i="2"/>
  <c r="L877" i="2"/>
  <c r="M877" i="2"/>
  <c r="N877" i="2"/>
  <c r="K878" i="2"/>
  <c r="L878" i="2"/>
  <c r="M878" i="2"/>
  <c r="N878" i="2"/>
  <c r="K879" i="2"/>
  <c r="L879" i="2"/>
  <c r="M879" i="2"/>
  <c r="N879" i="2"/>
  <c r="K880" i="2"/>
  <c r="L880" i="2"/>
  <c r="M880" i="2"/>
  <c r="N880" i="2"/>
  <c r="K881" i="2"/>
  <c r="L881" i="2"/>
  <c r="M881" i="2"/>
  <c r="N881" i="2"/>
  <c r="K882" i="2"/>
  <c r="L882" i="2"/>
  <c r="M882" i="2"/>
  <c r="N882" i="2"/>
  <c r="K888" i="2"/>
  <c r="L888" i="2"/>
  <c r="M888" i="2"/>
  <c r="N888" i="2"/>
  <c r="K889" i="2"/>
  <c r="L889" i="2"/>
  <c r="M889" i="2"/>
  <c r="N889" i="2"/>
  <c r="K890" i="2"/>
  <c r="L890" i="2"/>
  <c r="M890" i="2"/>
  <c r="N890" i="2"/>
  <c r="K891" i="2"/>
  <c r="L891" i="2"/>
  <c r="M891" i="2"/>
  <c r="N891" i="2"/>
  <c r="K895" i="2"/>
  <c r="L895" i="2"/>
  <c r="M895" i="2"/>
  <c r="N895" i="2"/>
  <c r="K901" i="2"/>
  <c r="L901" i="2"/>
  <c r="M901" i="2"/>
  <c r="N901" i="2"/>
  <c r="K898" i="2"/>
  <c r="L898" i="2"/>
  <c r="M898" i="2"/>
  <c r="N898" i="2"/>
  <c r="K899" i="2"/>
  <c r="L899" i="2"/>
  <c r="M899" i="2"/>
  <c r="N899" i="2"/>
  <c r="K900" i="2"/>
  <c r="L900" i="2"/>
  <c r="M900" i="2"/>
  <c r="N900" i="2"/>
  <c r="K903" i="2"/>
  <c r="L903" i="2"/>
  <c r="M903" i="2"/>
  <c r="N903" i="2"/>
  <c r="K905" i="2"/>
  <c r="L905" i="2"/>
  <c r="M905" i="2"/>
  <c r="N905" i="2"/>
  <c r="K904" i="2"/>
  <c r="L904" i="2"/>
  <c r="M904" i="2"/>
  <c r="N904" i="2"/>
  <c r="K906" i="2"/>
  <c r="L906" i="2"/>
  <c r="M906" i="2"/>
  <c r="N906" i="2"/>
  <c r="K909" i="2"/>
  <c r="L909" i="2"/>
  <c r="M909" i="2"/>
  <c r="N909" i="2"/>
  <c r="K912" i="2"/>
  <c r="L912" i="2"/>
  <c r="M912" i="2"/>
  <c r="N912" i="2"/>
  <c r="K913" i="2"/>
  <c r="L913" i="2"/>
  <c r="M913" i="2"/>
  <c r="N913" i="2"/>
  <c r="K914" i="2"/>
  <c r="L914" i="2"/>
  <c r="M914" i="2"/>
  <c r="N914" i="2"/>
  <c r="K915" i="2"/>
  <c r="L915" i="2"/>
  <c r="M915" i="2"/>
  <c r="N915" i="2"/>
  <c r="K917" i="2"/>
  <c r="L917" i="2"/>
  <c r="M917" i="2"/>
  <c r="N917" i="2"/>
  <c r="K919" i="2"/>
  <c r="L919" i="2"/>
  <c r="M919" i="2"/>
  <c r="N919" i="2"/>
  <c r="K920" i="2"/>
  <c r="L920" i="2"/>
  <c r="M920" i="2"/>
  <c r="N920" i="2"/>
  <c r="K918" i="2"/>
  <c r="L918" i="2"/>
  <c r="M918" i="2"/>
  <c r="N918" i="2"/>
  <c r="K928" i="2"/>
  <c r="L928" i="2"/>
  <c r="M928" i="2"/>
  <c r="N928" i="2"/>
  <c r="K930" i="2"/>
  <c r="L930" i="2"/>
  <c r="M930" i="2"/>
  <c r="N930" i="2"/>
  <c r="K931" i="2"/>
  <c r="L931" i="2"/>
  <c r="M931" i="2"/>
  <c r="N931" i="2"/>
  <c r="K933" i="2"/>
  <c r="L933" i="2"/>
  <c r="M933" i="2"/>
  <c r="N933" i="2"/>
  <c r="K935" i="2"/>
  <c r="L935" i="2"/>
  <c r="M935" i="2"/>
  <c r="N935" i="2"/>
  <c r="K936" i="2"/>
  <c r="L936" i="2"/>
  <c r="M936" i="2"/>
  <c r="N936" i="2"/>
  <c r="K945" i="2"/>
  <c r="L945" i="2"/>
  <c r="M945" i="2"/>
  <c r="N945" i="2"/>
  <c r="K940" i="2"/>
  <c r="L940" i="2"/>
  <c r="M940" i="2"/>
  <c r="N940" i="2"/>
  <c r="K939" i="2"/>
  <c r="L939" i="2"/>
  <c r="M939" i="2"/>
  <c r="N939" i="2"/>
  <c r="K942" i="2"/>
  <c r="L942" i="2"/>
  <c r="M942" i="2"/>
  <c r="N942" i="2"/>
  <c r="K943" i="2"/>
  <c r="L943" i="2"/>
  <c r="M943" i="2"/>
  <c r="N943" i="2"/>
  <c r="K944" i="2"/>
  <c r="L944" i="2"/>
  <c r="M944" i="2"/>
  <c r="N944" i="2"/>
  <c r="K946" i="2"/>
  <c r="L946" i="2"/>
  <c r="M946" i="2"/>
  <c r="N946" i="2"/>
  <c r="K947" i="2"/>
  <c r="L947" i="2"/>
  <c r="M947" i="2"/>
  <c r="N947" i="2"/>
  <c r="K948" i="2"/>
  <c r="L948" i="2"/>
  <c r="M948" i="2"/>
  <c r="N948" i="2"/>
  <c r="K958" i="2"/>
  <c r="L958" i="2"/>
  <c r="M958" i="2"/>
  <c r="N958" i="2"/>
  <c r="K959" i="2"/>
  <c r="L959" i="2"/>
  <c r="M959" i="2"/>
  <c r="N959" i="2"/>
  <c r="K960" i="2"/>
  <c r="L960" i="2"/>
  <c r="M960" i="2"/>
  <c r="N960" i="2"/>
  <c r="K967" i="2"/>
  <c r="L967" i="2"/>
  <c r="M967" i="2"/>
  <c r="N967" i="2"/>
  <c r="K968" i="2"/>
  <c r="L968" i="2"/>
  <c r="M968" i="2"/>
  <c r="N968" i="2"/>
  <c r="K969" i="2"/>
  <c r="L969" i="2"/>
  <c r="M969" i="2"/>
  <c r="N969" i="2"/>
  <c r="K970" i="2"/>
  <c r="L970" i="2"/>
  <c r="M970" i="2"/>
  <c r="N970" i="2"/>
  <c r="K971" i="2"/>
  <c r="L971" i="2"/>
  <c r="M971" i="2"/>
  <c r="N971" i="2"/>
  <c r="K972" i="2"/>
  <c r="L972" i="2"/>
  <c r="M972" i="2"/>
  <c r="N972" i="2"/>
  <c r="K980" i="2"/>
  <c r="L980" i="2"/>
  <c r="M980" i="2"/>
  <c r="N980" i="2"/>
  <c r="K981" i="2"/>
  <c r="L981" i="2"/>
  <c r="M981" i="2"/>
  <c r="N981" i="2"/>
  <c r="K982" i="2"/>
  <c r="L982" i="2"/>
  <c r="M982" i="2"/>
  <c r="N982" i="2"/>
  <c r="K985" i="2"/>
  <c r="L985" i="2"/>
  <c r="M985" i="2"/>
  <c r="N985" i="2"/>
  <c r="K984" i="2"/>
  <c r="L984" i="2"/>
  <c r="M984" i="2"/>
  <c r="N984" i="2"/>
  <c r="K988" i="2"/>
  <c r="L988" i="2"/>
  <c r="M988" i="2"/>
  <c r="N988" i="2"/>
  <c r="K991" i="2"/>
  <c r="L991" i="2"/>
  <c r="M991" i="2"/>
  <c r="N991" i="2"/>
  <c r="K994" i="2"/>
  <c r="L994" i="2"/>
  <c r="M994" i="2"/>
  <c r="N994" i="2"/>
  <c r="K995" i="2"/>
  <c r="L995" i="2"/>
  <c r="M995" i="2"/>
  <c r="N995" i="2"/>
  <c r="K993" i="2"/>
  <c r="L993" i="2"/>
  <c r="M993" i="2"/>
  <c r="N993" i="2"/>
  <c r="K996" i="2"/>
  <c r="L996" i="2"/>
  <c r="M996" i="2"/>
  <c r="N996" i="2"/>
  <c r="K997" i="2"/>
  <c r="L997" i="2"/>
  <c r="M997" i="2"/>
  <c r="N997" i="2"/>
  <c r="K998" i="2"/>
  <c r="L998" i="2"/>
  <c r="M998" i="2"/>
  <c r="N998" i="2"/>
  <c r="K999" i="2"/>
  <c r="L999" i="2"/>
  <c r="M999" i="2"/>
  <c r="N999" i="2"/>
  <c r="K1000" i="2"/>
  <c r="L1000" i="2"/>
  <c r="M1000" i="2"/>
  <c r="N1000" i="2"/>
  <c r="K1002" i="2"/>
  <c r="L1002" i="2"/>
  <c r="M1002" i="2"/>
  <c r="N1002" i="2"/>
  <c r="K1004" i="2"/>
  <c r="L1004" i="2"/>
  <c r="M1004" i="2"/>
  <c r="N1004" i="2"/>
  <c r="K1003" i="2"/>
  <c r="L1003" i="2"/>
  <c r="M1003" i="2"/>
  <c r="N1003" i="2"/>
  <c r="K1005" i="2"/>
  <c r="L1005" i="2"/>
  <c r="M1005" i="2"/>
  <c r="N1005" i="2"/>
  <c r="K1006" i="2"/>
  <c r="L1006" i="2"/>
  <c r="M1006" i="2"/>
  <c r="N1006" i="2"/>
  <c r="K1007" i="2"/>
  <c r="L1007" i="2"/>
  <c r="M1007" i="2"/>
  <c r="N1007" i="2"/>
  <c r="K1011" i="2"/>
  <c r="L1011" i="2"/>
  <c r="M1011" i="2"/>
  <c r="N1011" i="2"/>
  <c r="K1017" i="2"/>
  <c r="L1017" i="2"/>
  <c r="M1017" i="2"/>
  <c r="N1017" i="2"/>
  <c r="K1014" i="2"/>
  <c r="L1014" i="2"/>
  <c r="M1014" i="2"/>
  <c r="N1014" i="2"/>
  <c r="K1015" i="2"/>
  <c r="L1015" i="2"/>
  <c r="M1015" i="2"/>
  <c r="N1015" i="2"/>
  <c r="K1018" i="2"/>
  <c r="L1018" i="2"/>
  <c r="M1018" i="2"/>
  <c r="N1018" i="2"/>
  <c r="K1019" i="2"/>
  <c r="L1019" i="2"/>
  <c r="M1019" i="2"/>
  <c r="N1019" i="2"/>
  <c r="K1020" i="2"/>
  <c r="L1020" i="2"/>
  <c r="M1020" i="2"/>
  <c r="N1020" i="2"/>
  <c r="K1022" i="2"/>
  <c r="L1022" i="2"/>
  <c r="M1022" i="2"/>
  <c r="N1022" i="2"/>
  <c r="K1025" i="2"/>
  <c r="L1025" i="2"/>
  <c r="M1025" i="2"/>
  <c r="N1025" i="2"/>
  <c r="K1026" i="2"/>
  <c r="L1026" i="2"/>
  <c r="M1026" i="2"/>
  <c r="N1026" i="2"/>
  <c r="K1031" i="2"/>
  <c r="L1031" i="2"/>
  <c r="M1031" i="2"/>
  <c r="N1031" i="2"/>
  <c r="K1030" i="2"/>
  <c r="L1030" i="2"/>
  <c r="M1030" i="2"/>
  <c r="N1030" i="2"/>
  <c r="K1034" i="2"/>
  <c r="L1034" i="2"/>
  <c r="M1034" i="2"/>
  <c r="N1034" i="2"/>
  <c r="K1032" i="2"/>
  <c r="L1032" i="2"/>
  <c r="M1032" i="2"/>
  <c r="N1032" i="2"/>
  <c r="K1036" i="2"/>
  <c r="L1036" i="2"/>
  <c r="M1036" i="2"/>
  <c r="N1036" i="2"/>
  <c r="K1037" i="2"/>
  <c r="L1037" i="2"/>
  <c r="M1037" i="2"/>
  <c r="N1037" i="2"/>
  <c r="K1035" i="2"/>
  <c r="L1035" i="2"/>
  <c r="M1035" i="2"/>
  <c r="N1035" i="2"/>
  <c r="K1038" i="2"/>
  <c r="L1038" i="2"/>
  <c r="M1038" i="2"/>
  <c r="N1038" i="2"/>
  <c r="K1039" i="2"/>
  <c r="L1039" i="2"/>
  <c r="M1039" i="2"/>
  <c r="N1039" i="2"/>
  <c r="K1044" i="2"/>
  <c r="L1044" i="2"/>
  <c r="M1044" i="2"/>
  <c r="N1044" i="2"/>
  <c r="K1045" i="2"/>
  <c r="L1045" i="2"/>
  <c r="M1045" i="2"/>
  <c r="N1045" i="2"/>
  <c r="K1055" i="2"/>
  <c r="L1055" i="2"/>
  <c r="M1055" i="2"/>
  <c r="N1055" i="2"/>
  <c r="K1059" i="2"/>
  <c r="L1059" i="2"/>
  <c r="M1059" i="2"/>
  <c r="N1059" i="2"/>
  <c r="K1061" i="2"/>
  <c r="L1061" i="2"/>
  <c r="M1061" i="2"/>
  <c r="N1061" i="2"/>
  <c r="K1063" i="2"/>
  <c r="L1063" i="2"/>
  <c r="M1063" i="2"/>
  <c r="N1063" i="2"/>
  <c r="K1064" i="2"/>
  <c r="L1064" i="2"/>
  <c r="M1064" i="2"/>
  <c r="N1064" i="2"/>
  <c r="K1065" i="2"/>
  <c r="L1065" i="2"/>
  <c r="M1065" i="2"/>
  <c r="N1065" i="2"/>
  <c r="K1067" i="2"/>
  <c r="L1067" i="2"/>
  <c r="M1067" i="2"/>
  <c r="N1067" i="2"/>
  <c r="K1068" i="2"/>
  <c r="L1068" i="2"/>
  <c r="M1068" i="2"/>
  <c r="N1068" i="2"/>
  <c r="K1071" i="2"/>
  <c r="L1071" i="2"/>
  <c r="M1071" i="2"/>
  <c r="N1071" i="2"/>
  <c r="K1072" i="2"/>
  <c r="L1072" i="2"/>
  <c r="M1072" i="2"/>
  <c r="N1072" i="2"/>
  <c r="K1073" i="2"/>
  <c r="L1073" i="2"/>
  <c r="M1073" i="2"/>
  <c r="N1073" i="2"/>
  <c r="K1075" i="2"/>
  <c r="L1075" i="2"/>
  <c r="M1075" i="2"/>
  <c r="N1075" i="2"/>
  <c r="K1076" i="2"/>
  <c r="L1076" i="2"/>
  <c r="M1076" i="2"/>
  <c r="N1076" i="2"/>
  <c r="K1077" i="2"/>
  <c r="L1077" i="2"/>
  <c r="M1077" i="2"/>
  <c r="N1077" i="2"/>
  <c r="K1078" i="2"/>
  <c r="L1078" i="2"/>
  <c r="M1078" i="2"/>
  <c r="N1078" i="2"/>
  <c r="K1079" i="2"/>
  <c r="L1079" i="2"/>
  <c r="M1079" i="2"/>
  <c r="N1079" i="2"/>
  <c r="K1080" i="2"/>
  <c r="L1080" i="2"/>
  <c r="M1080" i="2"/>
  <c r="N1080" i="2"/>
  <c r="K1081" i="2"/>
  <c r="L1081" i="2"/>
  <c r="M1081" i="2"/>
  <c r="N1081" i="2"/>
  <c r="K1082" i="2"/>
  <c r="L1082" i="2"/>
  <c r="M1082" i="2"/>
  <c r="N1082" i="2"/>
  <c r="K1083" i="2"/>
  <c r="L1083" i="2"/>
  <c r="M1083" i="2"/>
  <c r="N1083" i="2"/>
  <c r="K1084" i="2"/>
  <c r="L1084" i="2"/>
  <c r="M1084" i="2"/>
  <c r="N1084" i="2"/>
  <c r="K1085" i="2"/>
  <c r="L1085" i="2"/>
  <c r="M1085" i="2"/>
  <c r="N1085" i="2"/>
  <c r="F1086" i="2"/>
  <c r="K1086" i="2"/>
  <c r="L1086" i="2"/>
  <c r="M1086" i="2"/>
  <c r="N1086" i="2"/>
  <c r="K1088" i="2"/>
  <c r="L1088" i="2"/>
  <c r="M1088" i="2"/>
  <c r="N1088" i="2"/>
  <c r="K1087" i="2"/>
  <c r="L1087" i="2"/>
  <c r="M1087" i="2"/>
  <c r="N1087" i="2"/>
  <c r="K1091" i="2"/>
  <c r="L1091" i="2"/>
  <c r="M1091" i="2"/>
  <c r="N1091" i="2"/>
  <c r="K1092" i="2"/>
  <c r="L1092" i="2"/>
  <c r="M1092" i="2"/>
  <c r="N1092" i="2"/>
  <c r="K1093" i="2"/>
  <c r="L1093" i="2"/>
  <c r="M1093" i="2"/>
  <c r="N1093" i="2"/>
  <c r="K1094" i="2"/>
  <c r="L1094" i="2"/>
  <c r="M1094" i="2"/>
  <c r="N1094" i="2"/>
  <c r="K1097" i="2"/>
  <c r="L1097" i="2"/>
  <c r="M1097" i="2"/>
  <c r="N1097" i="2"/>
  <c r="K1098" i="2"/>
  <c r="L1098" i="2"/>
  <c r="M1098" i="2"/>
  <c r="N1098" i="2"/>
  <c r="K1100" i="2"/>
  <c r="L1100" i="2"/>
  <c r="M1100" i="2"/>
  <c r="N1100" i="2"/>
  <c r="K1101" i="2"/>
  <c r="L1101" i="2"/>
  <c r="M1101" i="2"/>
  <c r="N1101" i="2"/>
  <c r="K1102" i="2"/>
  <c r="L1102" i="2"/>
  <c r="M1102" i="2"/>
  <c r="N1102" i="2"/>
  <c r="K1103" i="2"/>
  <c r="L1103" i="2"/>
  <c r="M1103" i="2"/>
  <c r="N1103" i="2"/>
  <c r="K1111" i="2"/>
  <c r="L1111" i="2"/>
  <c r="M1111" i="2"/>
  <c r="N1111" i="2"/>
  <c r="K1115" i="2"/>
  <c r="L1115" i="2"/>
  <c r="M1115" i="2"/>
  <c r="N1115" i="2"/>
  <c r="K1112" i="2"/>
  <c r="L1112" i="2"/>
  <c r="M1112" i="2"/>
  <c r="N1112" i="2"/>
  <c r="K1118" i="2"/>
  <c r="L1118" i="2"/>
  <c r="M1118" i="2"/>
  <c r="N1118" i="2"/>
  <c r="K1119" i="2"/>
  <c r="L1119" i="2"/>
  <c r="M1119" i="2"/>
  <c r="N1119" i="2"/>
  <c r="K1120" i="2"/>
  <c r="L1120" i="2"/>
  <c r="M1120" i="2"/>
  <c r="N1120" i="2"/>
  <c r="K1121" i="2"/>
  <c r="L1121" i="2"/>
  <c r="M1121" i="2"/>
  <c r="N1121" i="2"/>
  <c r="K1122" i="2"/>
  <c r="L1122" i="2"/>
  <c r="M1122" i="2"/>
  <c r="N1122" i="2"/>
  <c r="K1123" i="2"/>
  <c r="L1123" i="2"/>
  <c r="M1123" i="2"/>
  <c r="N1123" i="2"/>
  <c r="K1124" i="2"/>
  <c r="L1124" i="2"/>
  <c r="M1124" i="2"/>
  <c r="N1124" i="2"/>
  <c r="K1125" i="2"/>
  <c r="L1125" i="2"/>
  <c r="M1125" i="2"/>
  <c r="N1125" i="2"/>
  <c r="K1126" i="2"/>
  <c r="L1126" i="2"/>
  <c r="M1126" i="2"/>
  <c r="N1126" i="2"/>
  <c r="K1127" i="2"/>
  <c r="L1127" i="2"/>
  <c r="M1127" i="2"/>
  <c r="N1127" i="2"/>
  <c r="K1128" i="2"/>
  <c r="L1128" i="2"/>
  <c r="M1128" i="2"/>
  <c r="N1128" i="2"/>
  <c r="K1129" i="2"/>
  <c r="L1129" i="2"/>
  <c r="M1129" i="2"/>
  <c r="N1129" i="2"/>
  <c r="K1130" i="2"/>
  <c r="L1130" i="2"/>
  <c r="M1130" i="2"/>
  <c r="N1130" i="2"/>
  <c r="K1131" i="2"/>
  <c r="L1131" i="2"/>
  <c r="M1131" i="2"/>
  <c r="N1131" i="2"/>
  <c r="K1132" i="2"/>
  <c r="L1132" i="2"/>
  <c r="M1132" i="2"/>
  <c r="N1132" i="2"/>
  <c r="K1133" i="2"/>
  <c r="L1133" i="2"/>
  <c r="M1133" i="2"/>
  <c r="N1133" i="2"/>
  <c r="K1134" i="2"/>
  <c r="L1134" i="2"/>
  <c r="M1134" i="2"/>
  <c r="N1134" i="2"/>
  <c r="K1135" i="2"/>
  <c r="L1135" i="2"/>
  <c r="M1135" i="2"/>
  <c r="N1135" i="2"/>
  <c r="K1136" i="2"/>
  <c r="L1136" i="2"/>
  <c r="M1136" i="2"/>
  <c r="N1136" i="2"/>
  <c r="K1137" i="2"/>
  <c r="L1137" i="2"/>
  <c r="M1137" i="2"/>
  <c r="N1137" i="2"/>
  <c r="K1138" i="2"/>
  <c r="L1138" i="2"/>
  <c r="M1138" i="2"/>
  <c r="N1138" i="2"/>
  <c r="K1139" i="2"/>
  <c r="L1139" i="2"/>
  <c r="M1139" i="2"/>
  <c r="N1139" i="2"/>
  <c r="K1140" i="2"/>
  <c r="L1140" i="2"/>
  <c r="M1140" i="2"/>
  <c r="N1140" i="2"/>
  <c r="K1141" i="2"/>
  <c r="L1141" i="2"/>
  <c r="M1141" i="2"/>
  <c r="N1141" i="2"/>
  <c r="K1142" i="2"/>
  <c r="L1142" i="2"/>
  <c r="M1142" i="2"/>
  <c r="N1142" i="2"/>
  <c r="K1143" i="2"/>
  <c r="L1143" i="2"/>
  <c r="M1143" i="2"/>
  <c r="N1143" i="2"/>
  <c r="K1144" i="2"/>
  <c r="L1144" i="2"/>
  <c r="M1144" i="2"/>
  <c r="N1144" i="2"/>
  <c r="K1145" i="2"/>
  <c r="L1145" i="2"/>
  <c r="M1145" i="2"/>
  <c r="N1145" i="2"/>
  <c r="K1146" i="2"/>
  <c r="L1146" i="2"/>
  <c r="M1146" i="2"/>
  <c r="N1146" i="2"/>
  <c r="K1147" i="2"/>
  <c r="L1147" i="2"/>
  <c r="M1147" i="2"/>
  <c r="N1147" i="2"/>
  <c r="K1148" i="2"/>
  <c r="L1148" i="2"/>
  <c r="M1148" i="2"/>
  <c r="N1148" i="2"/>
  <c r="K1168" i="2"/>
  <c r="L1168" i="2"/>
  <c r="M1168" i="2"/>
  <c r="N1168" i="2"/>
  <c r="K1149" i="2"/>
  <c r="L1149" i="2"/>
  <c r="M1149" i="2"/>
  <c r="N1149" i="2"/>
  <c r="K1150" i="2"/>
  <c r="L1150" i="2"/>
  <c r="M1150" i="2"/>
  <c r="N1150" i="2"/>
  <c r="K1151" i="2"/>
  <c r="L1151" i="2"/>
  <c r="M1151" i="2"/>
  <c r="N1151" i="2"/>
  <c r="K1152" i="2"/>
  <c r="L1152" i="2"/>
  <c r="M1152" i="2"/>
  <c r="N1152" i="2"/>
  <c r="K1153" i="2"/>
  <c r="L1153" i="2"/>
  <c r="M1153" i="2"/>
  <c r="N1153" i="2"/>
  <c r="K1154" i="2"/>
  <c r="L1154" i="2"/>
  <c r="M1154" i="2"/>
  <c r="N1154" i="2"/>
  <c r="K1155" i="2"/>
  <c r="L1155" i="2"/>
  <c r="M1155" i="2"/>
  <c r="N1155" i="2"/>
  <c r="K1156" i="2"/>
  <c r="L1156" i="2"/>
  <c r="M1156" i="2"/>
  <c r="N1156" i="2"/>
  <c r="K1157" i="2"/>
  <c r="L1157" i="2"/>
  <c r="M1157" i="2"/>
  <c r="N1157" i="2"/>
  <c r="K1158" i="2"/>
  <c r="L1158" i="2"/>
  <c r="M1158" i="2"/>
  <c r="N1158" i="2"/>
  <c r="K1159" i="2"/>
  <c r="L1159" i="2"/>
  <c r="M1159" i="2"/>
  <c r="N1159" i="2"/>
  <c r="K1160" i="2"/>
  <c r="L1160" i="2"/>
  <c r="M1160" i="2"/>
  <c r="N1160" i="2"/>
  <c r="K1161" i="2"/>
  <c r="L1161" i="2"/>
  <c r="M1161" i="2"/>
  <c r="N1161" i="2"/>
  <c r="K1162" i="2"/>
  <c r="L1162" i="2"/>
  <c r="M1162" i="2"/>
  <c r="N1162" i="2"/>
  <c r="K1163" i="2"/>
  <c r="L1163" i="2"/>
  <c r="M1163" i="2"/>
  <c r="N1163" i="2"/>
  <c r="K1164" i="2"/>
  <c r="L1164" i="2"/>
  <c r="M1164" i="2"/>
  <c r="N1164" i="2"/>
  <c r="K1165" i="2"/>
  <c r="L1165" i="2"/>
  <c r="M1165" i="2"/>
  <c r="N1165" i="2"/>
  <c r="K1166" i="2"/>
  <c r="L1166" i="2"/>
  <c r="M1166" i="2"/>
  <c r="N1166" i="2"/>
  <c r="K1167" i="2"/>
  <c r="L1167" i="2"/>
  <c r="M1167" i="2"/>
  <c r="N1167" i="2"/>
  <c r="K1202" i="2"/>
  <c r="L1202" i="2"/>
  <c r="M1202" i="2"/>
  <c r="N1202" i="2"/>
  <c r="K1169" i="2"/>
  <c r="L1169" i="2"/>
  <c r="M1169" i="2"/>
  <c r="N1169" i="2"/>
  <c r="K1170" i="2"/>
  <c r="L1170" i="2"/>
  <c r="M1170" i="2"/>
  <c r="N1170" i="2"/>
  <c r="K1171" i="2"/>
  <c r="L1171" i="2"/>
  <c r="M1171" i="2"/>
  <c r="N1171" i="2"/>
  <c r="K1172" i="2"/>
  <c r="L1172" i="2"/>
  <c r="M1172" i="2"/>
  <c r="N1172" i="2"/>
  <c r="K1173" i="2"/>
  <c r="L1173" i="2"/>
  <c r="M1173" i="2"/>
  <c r="N1173" i="2"/>
  <c r="K1174" i="2"/>
  <c r="L1174" i="2"/>
  <c r="M1174" i="2"/>
  <c r="N1174" i="2"/>
  <c r="K1175" i="2"/>
  <c r="L1175" i="2"/>
  <c r="M1175" i="2"/>
  <c r="N1175" i="2"/>
  <c r="K1176" i="2"/>
  <c r="L1176" i="2"/>
  <c r="M1176" i="2"/>
  <c r="N1176" i="2"/>
  <c r="K1177" i="2"/>
  <c r="L1177" i="2"/>
  <c r="M1177" i="2"/>
  <c r="N1177" i="2"/>
  <c r="K1178" i="2"/>
  <c r="L1178" i="2"/>
  <c r="M1178" i="2"/>
  <c r="N1178" i="2"/>
  <c r="K1179" i="2"/>
  <c r="L1179" i="2"/>
  <c r="M1179" i="2"/>
  <c r="N1179" i="2"/>
  <c r="K1180" i="2"/>
  <c r="L1180" i="2"/>
  <c r="M1180" i="2"/>
  <c r="N1180" i="2"/>
  <c r="K1181" i="2"/>
  <c r="L1181" i="2"/>
  <c r="M1181" i="2"/>
  <c r="N1181" i="2"/>
  <c r="K1182" i="2"/>
  <c r="L1182" i="2"/>
  <c r="M1182" i="2"/>
  <c r="N1182" i="2"/>
  <c r="K1183" i="2"/>
  <c r="L1183" i="2"/>
  <c r="M1183" i="2"/>
  <c r="N1183" i="2"/>
  <c r="K1184" i="2"/>
  <c r="L1184" i="2"/>
  <c r="M1184" i="2"/>
  <c r="N1184" i="2"/>
  <c r="K1185" i="2"/>
  <c r="L1185" i="2"/>
  <c r="M1185" i="2"/>
  <c r="N1185" i="2"/>
  <c r="K1186" i="2"/>
  <c r="L1186" i="2"/>
  <c r="M1186" i="2"/>
  <c r="N1186" i="2"/>
  <c r="K1187" i="2"/>
  <c r="L1187" i="2"/>
  <c r="M1187" i="2"/>
  <c r="N1187" i="2"/>
  <c r="K1188" i="2"/>
  <c r="L1188" i="2"/>
  <c r="M1188" i="2"/>
  <c r="N1188" i="2"/>
  <c r="K1189" i="2"/>
  <c r="L1189" i="2"/>
  <c r="M1189" i="2"/>
  <c r="N1189" i="2"/>
  <c r="K1190" i="2"/>
  <c r="L1190" i="2"/>
  <c r="M1190" i="2"/>
  <c r="N1190" i="2"/>
  <c r="K1191" i="2"/>
  <c r="L1191" i="2"/>
  <c r="M1191" i="2"/>
  <c r="N1191" i="2"/>
  <c r="K1192" i="2"/>
  <c r="L1192" i="2"/>
  <c r="M1192" i="2"/>
  <c r="N1192" i="2"/>
  <c r="K1193" i="2"/>
  <c r="L1193" i="2"/>
  <c r="M1193" i="2"/>
  <c r="N1193" i="2"/>
  <c r="K1194" i="2"/>
  <c r="L1194" i="2"/>
  <c r="M1194" i="2"/>
  <c r="N1194" i="2"/>
  <c r="K1195" i="2"/>
  <c r="L1195" i="2"/>
  <c r="M1195" i="2"/>
  <c r="N1195" i="2"/>
  <c r="K1196" i="2"/>
  <c r="L1196" i="2"/>
  <c r="M1196" i="2"/>
  <c r="N1196" i="2"/>
  <c r="K1197" i="2"/>
  <c r="L1197" i="2"/>
  <c r="M1197" i="2"/>
  <c r="N1197" i="2"/>
  <c r="K1198" i="2"/>
  <c r="L1198" i="2"/>
  <c r="M1198" i="2"/>
  <c r="N1198" i="2"/>
  <c r="K1199" i="2"/>
  <c r="L1199" i="2"/>
  <c r="M1199" i="2"/>
  <c r="N1199" i="2"/>
  <c r="K1200" i="2"/>
  <c r="L1200" i="2"/>
  <c r="M1200" i="2"/>
  <c r="N1200" i="2"/>
  <c r="K1201" i="2"/>
  <c r="L1201" i="2"/>
  <c r="M1201" i="2"/>
  <c r="N1201" i="2"/>
  <c r="K1203" i="2"/>
  <c r="L1203" i="2"/>
  <c r="M1203" i="2"/>
  <c r="N1203" i="2"/>
  <c r="K1204" i="2"/>
  <c r="L1204" i="2"/>
  <c r="M1204" i="2"/>
  <c r="N1204" i="2"/>
  <c r="K1205" i="2"/>
  <c r="L1205" i="2"/>
  <c r="M1205" i="2"/>
  <c r="N1205" i="2"/>
  <c r="K1206" i="2"/>
  <c r="L1206" i="2"/>
  <c r="M1206" i="2"/>
  <c r="N1206" i="2"/>
  <c r="K1207" i="2"/>
  <c r="L1207" i="2"/>
  <c r="M1207" i="2"/>
  <c r="N1207" i="2"/>
  <c r="K1208" i="2"/>
  <c r="L1208" i="2"/>
  <c r="M1208" i="2"/>
  <c r="N1208" i="2"/>
  <c r="K1209" i="2"/>
  <c r="L1209" i="2"/>
  <c r="M1209" i="2"/>
  <c r="N1209" i="2"/>
  <c r="K1210" i="2"/>
  <c r="L1210" i="2"/>
  <c r="M1210" i="2"/>
  <c r="N1210" i="2"/>
  <c r="K1224" i="2"/>
  <c r="L1224" i="2"/>
  <c r="M1224" i="2"/>
  <c r="N1224" i="2"/>
  <c r="K1225" i="2"/>
  <c r="L1225" i="2"/>
  <c r="M1225" i="2"/>
  <c r="N1225" i="2"/>
  <c r="K1211" i="2"/>
  <c r="L1211" i="2"/>
  <c r="M1211" i="2"/>
  <c r="N1211" i="2"/>
  <c r="K1212" i="2"/>
  <c r="L1212" i="2"/>
  <c r="M1212" i="2"/>
  <c r="N1212" i="2"/>
  <c r="K1213" i="2"/>
  <c r="L1213" i="2"/>
  <c r="M1213" i="2"/>
  <c r="N1213" i="2"/>
  <c r="K1214" i="2"/>
  <c r="L1214" i="2"/>
  <c r="M1214" i="2"/>
  <c r="N1214" i="2"/>
  <c r="K1215" i="2"/>
  <c r="L1215" i="2"/>
  <c r="M1215" i="2"/>
  <c r="N1215" i="2"/>
  <c r="K1216" i="2"/>
  <c r="L1216" i="2"/>
  <c r="M1216" i="2"/>
  <c r="N1216" i="2"/>
  <c r="K1217" i="2"/>
  <c r="L1217" i="2"/>
  <c r="M1217" i="2"/>
  <c r="N1217" i="2"/>
  <c r="K1218" i="2"/>
  <c r="L1218" i="2"/>
  <c r="M1218" i="2"/>
  <c r="N1218" i="2"/>
  <c r="K1219" i="2"/>
  <c r="L1219" i="2"/>
  <c r="M1219" i="2"/>
  <c r="N1219" i="2"/>
  <c r="K1220" i="2"/>
  <c r="L1220" i="2"/>
  <c r="M1220" i="2"/>
  <c r="N1220" i="2"/>
  <c r="K1221" i="2"/>
  <c r="L1221" i="2"/>
  <c r="M1221" i="2"/>
  <c r="N1221" i="2"/>
  <c r="K1222" i="2"/>
  <c r="L1222" i="2"/>
  <c r="M1222" i="2"/>
  <c r="N1222" i="2"/>
  <c r="K1226" i="2"/>
  <c r="L1226" i="2"/>
  <c r="M1226" i="2"/>
  <c r="N1226" i="2"/>
  <c r="K1227" i="2"/>
  <c r="L1227" i="2"/>
  <c r="M1227" i="2"/>
  <c r="N1227" i="2"/>
  <c r="K1228" i="2"/>
  <c r="L1228" i="2"/>
  <c r="M1228" i="2"/>
  <c r="N1228" i="2"/>
  <c r="K1229" i="2"/>
  <c r="L1229" i="2"/>
  <c r="M1229" i="2"/>
  <c r="N1229" i="2"/>
  <c r="K1230" i="2"/>
  <c r="L1230" i="2"/>
  <c r="M1230" i="2"/>
  <c r="N1230" i="2"/>
  <c r="K1231" i="2"/>
  <c r="L1231" i="2"/>
  <c r="M1231" i="2"/>
  <c r="N1231" i="2"/>
  <c r="K1232" i="2"/>
  <c r="L1232" i="2"/>
  <c r="M1232" i="2"/>
  <c r="N1232" i="2"/>
  <c r="K1233" i="2"/>
  <c r="L1233" i="2"/>
  <c r="M1233" i="2"/>
  <c r="N1233" i="2"/>
  <c r="K1234" i="2"/>
  <c r="L1234" i="2"/>
  <c r="M1234" i="2"/>
  <c r="N1234" i="2"/>
  <c r="K1235" i="2"/>
  <c r="L1235" i="2"/>
  <c r="M1235" i="2"/>
  <c r="N1235" i="2"/>
  <c r="K1236" i="2"/>
  <c r="L1236" i="2"/>
  <c r="M1236" i="2"/>
  <c r="N1236" i="2"/>
  <c r="K1237" i="2"/>
  <c r="L1237" i="2"/>
  <c r="M1237" i="2"/>
  <c r="N1237" i="2"/>
  <c r="K1238" i="2"/>
  <c r="L1238" i="2"/>
  <c r="M1238" i="2"/>
  <c r="N1238" i="2"/>
  <c r="K1239" i="2"/>
  <c r="L1239" i="2"/>
  <c r="M1239" i="2"/>
  <c r="N1239" i="2"/>
  <c r="K1240" i="2"/>
  <c r="L1240" i="2"/>
  <c r="M1240" i="2"/>
  <c r="N1240" i="2"/>
  <c r="K1241" i="2"/>
  <c r="L1241" i="2"/>
  <c r="M1241" i="2"/>
  <c r="N1241" i="2"/>
  <c r="K1242" i="2"/>
  <c r="L1242" i="2"/>
  <c r="M1242" i="2"/>
  <c r="N1242" i="2"/>
  <c r="K1243" i="2"/>
  <c r="L1243" i="2"/>
  <c r="M1243" i="2"/>
  <c r="N1243" i="2"/>
  <c r="K1244" i="2"/>
  <c r="L1244" i="2"/>
  <c r="M1244" i="2"/>
  <c r="N1244" i="2"/>
  <c r="K1245" i="2"/>
  <c r="L1245" i="2"/>
  <c r="M1245" i="2"/>
  <c r="N1245" i="2"/>
  <c r="K1246" i="2"/>
  <c r="L1246" i="2"/>
  <c r="M1246" i="2"/>
  <c r="N1246" i="2"/>
  <c r="K1247" i="2"/>
  <c r="L1247" i="2"/>
  <c r="M1247" i="2"/>
  <c r="N1247" i="2"/>
  <c r="K1248" i="2"/>
  <c r="L1248" i="2"/>
  <c r="M1248" i="2"/>
  <c r="N1248" i="2"/>
  <c r="K1249" i="2"/>
  <c r="L1249" i="2"/>
  <c r="M1249" i="2"/>
  <c r="N1249" i="2"/>
  <c r="K1250" i="2"/>
  <c r="L1250" i="2"/>
  <c r="M1250" i="2"/>
  <c r="N1250" i="2"/>
  <c r="K1251" i="2"/>
  <c r="L1251" i="2"/>
  <c r="M1251" i="2"/>
  <c r="N1251" i="2"/>
  <c r="K1252" i="2"/>
  <c r="L1252" i="2"/>
  <c r="M1252" i="2"/>
  <c r="N1252" i="2"/>
  <c r="K1253" i="2"/>
  <c r="L1253" i="2"/>
  <c r="M1253" i="2"/>
  <c r="N1253" i="2"/>
  <c r="K1254" i="2"/>
  <c r="L1254" i="2"/>
  <c r="M1254" i="2"/>
  <c r="N1254" i="2"/>
  <c r="K1255" i="2"/>
  <c r="L1255" i="2"/>
  <c r="M1255" i="2"/>
  <c r="N1255" i="2"/>
  <c r="K1256" i="2"/>
  <c r="L1256" i="2"/>
  <c r="M1256" i="2"/>
  <c r="N1256" i="2"/>
  <c r="K1257" i="2"/>
  <c r="L1257" i="2"/>
  <c r="M1257" i="2"/>
  <c r="N1257" i="2"/>
  <c r="K1258" i="2"/>
  <c r="L1258" i="2"/>
  <c r="M1258" i="2"/>
  <c r="N1258" i="2"/>
  <c r="K1259" i="2"/>
  <c r="L1259" i="2"/>
  <c r="M1259" i="2"/>
  <c r="N1259" i="2"/>
  <c r="K1260" i="2"/>
  <c r="L1260" i="2"/>
  <c r="M1260" i="2"/>
  <c r="N1260" i="2"/>
  <c r="K1261" i="2"/>
  <c r="L1261" i="2"/>
  <c r="M1261" i="2"/>
  <c r="N1261" i="2"/>
  <c r="K1262" i="2"/>
  <c r="L1262" i="2"/>
  <c r="M1262" i="2"/>
  <c r="N1262" i="2"/>
  <c r="K1263" i="2"/>
  <c r="L1263" i="2"/>
  <c r="M1263" i="2"/>
  <c r="N1263" i="2"/>
  <c r="K1264" i="2"/>
  <c r="L1264" i="2"/>
  <c r="M1264" i="2"/>
  <c r="N1264" i="2"/>
  <c r="K1265" i="2"/>
  <c r="L1265" i="2"/>
  <c r="M1265" i="2"/>
  <c r="N1265" i="2"/>
  <c r="K1266" i="2"/>
  <c r="L1266" i="2"/>
  <c r="M1266" i="2"/>
  <c r="N1266" i="2"/>
  <c r="K1267" i="2"/>
  <c r="L1267" i="2"/>
  <c r="M1267" i="2"/>
  <c r="N1267" i="2"/>
  <c r="K1268" i="2"/>
  <c r="L1268" i="2"/>
  <c r="M1268" i="2"/>
  <c r="N1268" i="2"/>
  <c r="K1269" i="2"/>
  <c r="L1269" i="2"/>
  <c r="M1269" i="2"/>
  <c r="N1269" i="2"/>
  <c r="K1270" i="2"/>
  <c r="L1270" i="2"/>
  <c r="M1270" i="2"/>
  <c r="N1270" i="2"/>
  <c r="K1271" i="2"/>
  <c r="L1271" i="2"/>
  <c r="M1271" i="2"/>
  <c r="N1271" i="2"/>
  <c r="K1272" i="2"/>
  <c r="L1272" i="2"/>
  <c r="M1272" i="2"/>
  <c r="N1272" i="2"/>
  <c r="K1273" i="2"/>
  <c r="L1273" i="2"/>
  <c r="M1273" i="2"/>
  <c r="N1273" i="2"/>
  <c r="K1275" i="2"/>
  <c r="L1275" i="2"/>
  <c r="M1275" i="2"/>
  <c r="N1275" i="2"/>
  <c r="K1278" i="2"/>
  <c r="L1278" i="2"/>
  <c r="M1278" i="2"/>
  <c r="N1278" i="2"/>
  <c r="K1279" i="2"/>
  <c r="L1279" i="2"/>
  <c r="M1279" i="2"/>
  <c r="N1279" i="2"/>
  <c r="K1280" i="2"/>
  <c r="L1280" i="2"/>
  <c r="M1280" i="2"/>
  <c r="N1280" i="2"/>
  <c r="K1281" i="2"/>
  <c r="L1281" i="2"/>
  <c r="M1281" i="2"/>
  <c r="N1281" i="2"/>
  <c r="K1284" i="2"/>
  <c r="L1284" i="2"/>
  <c r="M1284" i="2"/>
  <c r="N1284" i="2"/>
  <c r="K1285" i="2"/>
  <c r="L1285" i="2"/>
  <c r="M1285" i="2"/>
  <c r="N1285" i="2"/>
  <c r="K1283" i="2"/>
  <c r="L1283" i="2"/>
  <c r="M1283" i="2"/>
  <c r="N1283" i="2"/>
  <c r="K1286" i="2"/>
  <c r="L1286" i="2"/>
  <c r="M1286" i="2"/>
  <c r="N1286" i="2"/>
  <c r="K1289" i="2"/>
  <c r="L1289" i="2"/>
  <c r="M1289" i="2"/>
  <c r="N1289" i="2"/>
  <c r="K1290" i="2"/>
  <c r="L1290" i="2"/>
  <c r="M1290" i="2"/>
  <c r="N1290" i="2"/>
  <c r="K1291" i="2"/>
  <c r="L1291" i="2"/>
  <c r="M1291" i="2"/>
  <c r="N1291" i="2"/>
  <c r="K1292" i="2"/>
  <c r="L1292" i="2"/>
  <c r="M1292" i="2"/>
  <c r="N1292" i="2"/>
  <c r="K1294" i="2"/>
  <c r="L1294" i="2"/>
  <c r="M1294" i="2"/>
  <c r="N1294" i="2"/>
  <c r="K1293" i="2"/>
  <c r="L1293" i="2"/>
  <c r="M1293" i="2"/>
  <c r="N1293" i="2"/>
  <c r="K1295" i="2"/>
  <c r="L1295" i="2"/>
  <c r="M1295" i="2"/>
  <c r="N1295" i="2"/>
  <c r="K1296" i="2"/>
  <c r="L1296" i="2"/>
  <c r="M1296" i="2"/>
  <c r="N1296" i="2"/>
  <c r="K1303" i="2"/>
  <c r="L1303" i="2"/>
  <c r="M1303" i="2"/>
  <c r="N1303" i="2"/>
  <c r="K1304" i="2"/>
  <c r="L1304" i="2"/>
  <c r="M1304" i="2"/>
  <c r="N1304" i="2"/>
  <c r="K1305" i="2"/>
  <c r="L1305" i="2"/>
  <c r="M1305" i="2"/>
  <c r="N1305" i="2"/>
  <c r="K1306" i="2"/>
  <c r="L1306" i="2"/>
  <c r="M1306" i="2"/>
  <c r="N1306" i="2"/>
  <c r="K1310" i="2"/>
  <c r="L1310" i="2"/>
  <c r="M1310" i="2"/>
  <c r="N1310" i="2"/>
  <c r="K1311" i="2"/>
  <c r="L1311" i="2"/>
  <c r="M1311" i="2"/>
  <c r="N1311" i="2"/>
  <c r="K1312" i="2"/>
  <c r="L1312" i="2"/>
  <c r="M1312" i="2"/>
  <c r="N1312" i="2"/>
  <c r="K1317" i="2"/>
  <c r="L1317" i="2"/>
  <c r="M1317" i="2"/>
  <c r="N1317" i="2"/>
  <c r="K1315" i="2"/>
  <c r="L1315" i="2"/>
  <c r="M1315" i="2"/>
  <c r="N1315" i="2"/>
  <c r="K1316" i="2"/>
  <c r="L1316" i="2"/>
  <c r="M1316" i="2"/>
  <c r="N1316" i="2"/>
  <c r="K1314" i="2"/>
  <c r="L1314" i="2"/>
  <c r="M1314" i="2"/>
  <c r="N1314" i="2"/>
  <c r="K1320" i="2"/>
  <c r="L1320" i="2"/>
  <c r="M1320" i="2"/>
  <c r="N1320" i="2"/>
  <c r="K1321" i="2"/>
  <c r="L1321" i="2"/>
  <c r="M1321" i="2"/>
  <c r="N1321" i="2"/>
  <c r="K1322" i="2"/>
  <c r="L1322" i="2"/>
  <c r="M1322" i="2"/>
  <c r="N1322" i="2"/>
  <c r="K1325" i="2"/>
  <c r="L1325" i="2"/>
  <c r="M1325" i="2"/>
  <c r="N1325" i="2"/>
  <c r="K1331" i="2"/>
  <c r="L1331" i="2"/>
  <c r="M1331" i="2"/>
  <c r="N1331" i="2"/>
  <c r="K1332" i="2"/>
  <c r="L1332" i="2"/>
  <c r="M1332" i="2"/>
  <c r="N1332" i="2"/>
  <c r="K1334" i="2"/>
  <c r="L1334" i="2"/>
  <c r="M1334" i="2"/>
  <c r="N1334" i="2"/>
  <c r="K1335" i="2"/>
  <c r="L1335" i="2"/>
  <c r="M1335" i="2"/>
  <c r="N1335" i="2"/>
  <c r="K1337" i="2"/>
  <c r="L1337" i="2"/>
  <c r="M1337" i="2"/>
  <c r="N1337" i="2"/>
  <c r="K1344" i="2"/>
  <c r="L1344" i="2"/>
  <c r="M1344" i="2"/>
  <c r="N1344" i="2"/>
  <c r="K1347" i="2"/>
  <c r="L1347" i="2"/>
  <c r="M1347" i="2"/>
  <c r="N1347" i="2"/>
  <c r="K1346" i="2"/>
  <c r="L1346" i="2"/>
  <c r="M1346" i="2"/>
  <c r="N1346" i="2"/>
  <c r="K1348" i="2"/>
  <c r="L1348" i="2"/>
  <c r="M1348" i="2"/>
  <c r="N1348" i="2"/>
  <c r="K1349" i="2"/>
  <c r="L1349" i="2"/>
  <c r="M1349" i="2"/>
  <c r="N1349" i="2"/>
  <c r="K1350" i="2"/>
  <c r="L1350" i="2"/>
  <c r="M1350" i="2"/>
  <c r="N1350" i="2"/>
  <c r="K1351" i="2"/>
  <c r="L1351" i="2"/>
  <c r="M1351" i="2"/>
  <c r="N1351" i="2"/>
  <c r="K1352" i="2"/>
  <c r="L1352" i="2"/>
  <c r="M1352" i="2"/>
  <c r="N1352" i="2"/>
  <c r="K1353" i="2"/>
  <c r="L1353" i="2"/>
  <c r="M1353" i="2"/>
  <c r="N1353" i="2"/>
  <c r="K1360" i="2"/>
  <c r="L1360" i="2"/>
  <c r="M1360" i="2"/>
  <c r="N1360" i="2"/>
  <c r="K1361" i="2"/>
  <c r="L1361" i="2"/>
  <c r="M1361" i="2"/>
  <c r="N1361" i="2"/>
  <c r="K1366" i="2"/>
  <c r="L1366" i="2"/>
  <c r="M1366" i="2"/>
  <c r="N1366" i="2"/>
  <c r="K1367" i="2"/>
  <c r="L1367" i="2"/>
  <c r="M1367" i="2"/>
  <c r="N1367" i="2"/>
  <c r="K1363" i="2"/>
  <c r="L1363" i="2"/>
  <c r="M1363" i="2"/>
  <c r="N1363" i="2"/>
  <c r="K1364" i="2"/>
  <c r="L1364" i="2"/>
  <c r="M1364" i="2"/>
  <c r="N1364" i="2"/>
  <c r="K1365" i="2"/>
  <c r="L1365" i="2"/>
  <c r="M1365" i="2"/>
  <c r="N1365" i="2"/>
  <c r="K1371" i="2"/>
  <c r="L1371" i="2"/>
  <c r="M1371" i="2"/>
  <c r="N1371" i="2"/>
  <c r="K1369" i="2"/>
  <c r="L1369" i="2"/>
  <c r="M1369" i="2"/>
  <c r="N1369" i="2"/>
  <c r="K1370" i="2"/>
  <c r="L1370" i="2"/>
  <c r="M1370" i="2"/>
  <c r="N1370" i="2"/>
  <c r="K1373" i="2"/>
  <c r="L1373" i="2"/>
  <c r="M1373" i="2"/>
  <c r="N1373" i="2"/>
  <c r="K1374" i="2"/>
  <c r="L1374" i="2"/>
  <c r="M1374" i="2"/>
  <c r="N1374" i="2"/>
  <c r="K1375" i="2"/>
  <c r="L1375" i="2"/>
  <c r="M1375" i="2"/>
  <c r="N1375" i="2"/>
  <c r="K1372" i="2"/>
  <c r="L1372" i="2"/>
  <c r="M1372" i="2"/>
  <c r="N1372" i="2"/>
  <c r="K1377" i="2"/>
  <c r="L1377" i="2"/>
  <c r="M1377" i="2"/>
  <c r="N1377" i="2"/>
  <c r="K1378" i="2"/>
  <c r="L1378" i="2"/>
  <c r="M1378" i="2"/>
  <c r="N1378" i="2"/>
  <c r="K1382" i="2"/>
  <c r="L1382" i="2"/>
  <c r="M1382" i="2"/>
  <c r="N1382" i="2"/>
  <c r="K1385" i="2"/>
  <c r="L1385" i="2"/>
  <c r="M1385" i="2"/>
  <c r="N1385" i="2"/>
  <c r="K1383" i="2"/>
  <c r="L1383" i="2"/>
  <c r="M1383" i="2"/>
  <c r="N1383" i="2"/>
  <c r="K1384" i="2"/>
  <c r="L1384" i="2"/>
  <c r="M1384" i="2"/>
  <c r="N1384" i="2"/>
  <c r="K1393" i="2"/>
  <c r="L1393" i="2"/>
  <c r="M1393" i="2"/>
  <c r="N1393" i="2"/>
  <c r="K1399" i="2"/>
  <c r="L1399" i="2"/>
  <c r="M1399" i="2"/>
  <c r="N1399" i="2"/>
  <c r="K1400" i="2"/>
  <c r="L1400" i="2"/>
  <c r="M1400" i="2"/>
  <c r="N1400" i="2"/>
  <c r="K1402" i="2"/>
  <c r="L1402" i="2"/>
  <c r="M1402" i="2"/>
  <c r="N1402" i="2"/>
  <c r="K1403" i="2"/>
  <c r="L1403" i="2"/>
  <c r="M1403" i="2"/>
  <c r="N1403" i="2"/>
  <c r="K1401" i="2"/>
  <c r="L1401" i="2"/>
  <c r="M1401" i="2"/>
  <c r="N1401" i="2"/>
  <c r="K1404" i="2"/>
  <c r="L1404" i="2"/>
  <c r="M1404" i="2"/>
  <c r="N1404" i="2"/>
  <c r="K1405" i="2"/>
  <c r="L1405" i="2"/>
  <c r="M1405" i="2"/>
  <c r="N1405" i="2"/>
  <c r="K1406" i="2"/>
  <c r="L1406" i="2"/>
  <c r="M1406" i="2"/>
  <c r="N1406" i="2"/>
  <c r="K1407" i="2"/>
  <c r="L1407" i="2"/>
  <c r="M1407" i="2"/>
  <c r="N1407" i="2"/>
  <c r="K1408" i="2"/>
  <c r="L1408" i="2"/>
  <c r="M1408" i="2"/>
  <c r="N1408" i="2"/>
  <c r="K1409" i="2"/>
  <c r="L1409" i="2"/>
  <c r="M1409" i="2"/>
  <c r="N1409" i="2"/>
  <c r="K1410" i="2"/>
  <c r="L1410" i="2"/>
  <c r="M1410" i="2"/>
  <c r="N1410" i="2"/>
  <c r="K1411" i="2"/>
  <c r="L1411" i="2"/>
  <c r="M1411" i="2"/>
  <c r="N1411" i="2"/>
  <c r="K1412" i="2"/>
  <c r="L1412" i="2"/>
  <c r="M1412" i="2"/>
  <c r="N1412" i="2"/>
  <c r="K1413" i="2"/>
  <c r="L1413" i="2"/>
  <c r="M1413" i="2"/>
  <c r="N1413" i="2"/>
  <c r="K1414" i="2"/>
  <c r="L1414" i="2"/>
  <c r="M1414" i="2"/>
  <c r="N1414" i="2"/>
  <c r="K1416" i="2"/>
  <c r="L1416" i="2"/>
  <c r="M1416" i="2"/>
  <c r="N1416" i="2"/>
  <c r="K1417" i="2"/>
  <c r="L1417" i="2"/>
  <c r="M1417" i="2"/>
  <c r="N1417" i="2"/>
  <c r="K1418" i="2"/>
  <c r="L1418" i="2"/>
  <c r="M1418" i="2"/>
  <c r="N1418" i="2"/>
  <c r="K1420" i="2"/>
  <c r="L1420" i="2"/>
  <c r="M1420" i="2"/>
  <c r="N1420" i="2"/>
  <c r="K1421" i="2"/>
  <c r="L1421" i="2"/>
  <c r="M1421" i="2"/>
  <c r="N1421" i="2"/>
  <c r="K1422" i="2"/>
  <c r="L1422" i="2"/>
  <c r="M1422" i="2"/>
  <c r="N1422" i="2"/>
  <c r="K1423" i="2"/>
  <c r="L1423" i="2"/>
  <c r="M1423" i="2"/>
  <c r="N1423" i="2"/>
  <c r="K1424" i="2"/>
  <c r="L1424" i="2"/>
  <c r="M1424" i="2"/>
  <c r="N1424" i="2"/>
  <c r="K1425" i="2"/>
  <c r="L1425" i="2"/>
  <c r="M1425" i="2"/>
  <c r="N1425" i="2"/>
  <c r="K1426" i="2"/>
  <c r="L1426" i="2"/>
  <c r="M1426" i="2"/>
  <c r="N1426" i="2"/>
  <c r="K1427" i="2"/>
  <c r="L1427" i="2"/>
  <c r="M1427" i="2"/>
  <c r="N1427" i="2"/>
  <c r="K1428" i="2"/>
  <c r="L1428" i="2"/>
  <c r="M1428" i="2"/>
  <c r="N1428" i="2"/>
  <c r="K1429" i="2"/>
  <c r="L1429" i="2"/>
  <c r="M1429" i="2"/>
  <c r="N1429" i="2"/>
  <c r="K1430" i="2"/>
  <c r="L1430" i="2"/>
  <c r="M1430" i="2"/>
  <c r="N1430" i="2"/>
  <c r="K1431" i="2"/>
  <c r="L1431" i="2"/>
  <c r="M1431" i="2"/>
  <c r="N1431" i="2"/>
  <c r="K1432" i="2"/>
  <c r="L1432" i="2"/>
  <c r="M1432" i="2"/>
  <c r="N1432" i="2"/>
  <c r="K1433" i="2"/>
  <c r="L1433" i="2"/>
  <c r="M1433" i="2"/>
  <c r="N1433" i="2"/>
  <c r="K1434" i="2"/>
  <c r="L1434" i="2"/>
  <c r="M1434" i="2"/>
  <c r="N1434" i="2"/>
  <c r="K1446" i="2"/>
  <c r="L1446" i="2"/>
  <c r="M1446" i="2"/>
  <c r="N1446" i="2"/>
  <c r="K1435" i="2"/>
  <c r="L1435" i="2"/>
  <c r="M1435" i="2"/>
  <c r="N1435" i="2"/>
  <c r="K1436" i="2"/>
  <c r="L1436" i="2"/>
  <c r="M1436" i="2"/>
  <c r="N1436" i="2"/>
  <c r="K1437" i="2"/>
  <c r="L1437" i="2"/>
  <c r="M1437" i="2"/>
  <c r="N1437" i="2"/>
  <c r="K1438" i="2"/>
  <c r="L1438" i="2"/>
  <c r="M1438" i="2"/>
  <c r="N1438" i="2"/>
  <c r="K1439" i="2"/>
  <c r="L1439" i="2"/>
  <c r="M1439" i="2"/>
  <c r="N1439" i="2"/>
  <c r="K1440" i="2"/>
  <c r="L1440" i="2"/>
  <c r="M1440" i="2"/>
  <c r="N1440" i="2"/>
  <c r="K1441" i="2"/>
  <c r="L1441" i="2"/>
  <c r="M1441" i="2"/>
  <c r="N1441" i="2"/>
  <c r="K1442" i="2"/>
  <c r="L1442" i="2"/>
  <c r="M1442" i="2"/>
  <c r="N1442" i="2"/>
  <c r="K1443" i="2"/>
  <c r="L1443" i="2"/>
  <c r="M1443" i="2"/>
  <c r="N1443" i="2"/>
  <c r="K1444" i="2"/>
  <c r="L1444" i="2"/>
  <c r="M1444" i="2"/>
  <c r="N1444" i="2"/>
  <c r="K1445" i="2"/>
  <c r="L1445" i="2"/>
  <c r="M1445" i="2"/>
  <c r="N1445" i="2"/>
  <c r="K1447" i="2"/>
  <c r="L1447" i="2"/>
  <c r="M1447" i="2"/>
  <c r="N1447" i="2"/>
  <c r="K1448" i="2"/>
  <c r="L1448" i="2"/>
  <c r="M1448" i="2"/>
  <c r="N1448" i="2"/>
  <c r="K1449" i="2"/>
  <c r="L1449" i="2"/>
  <c r="M1449" i="2"/>
  <c r="N1449" i="2"/>
  <c r="K1450" i="2"/>
  <c r="L1450" i="2"/>
  <c r="M1450" i="2"/>
  <c r="N1450" i="2"/>
  <c r="K1452" i="2"/>
  <c r="L1452" i="2"/>
  <c r="M1452" i="2"/>
  <c r="N1452" i="2"/>
  <c r="K1451" i="2"/>
  <c r="L1451" i="2"/>
  <c r="M1451" i="2"/>
  <c r="N1451" i="2"/>
  <c r="K1457" i="2"/>
  <c r="L1457" i="2"/>
  <c r="M1457" i="2"/>
  <c r="N1457" i="2"/>
  <c r="K1458" i="2"/>
  <c r="L1458" i="2"/>
  <c r="M1458" i="2"/>
  <c r="N1458" i="2"/>
  <c r="K1459" i="2"/>
  <c r="L1459" i="2"/>
  <c r="M1459" i="2"/>
  <c r="N1459" i="2"/>
  <c r="K1460" i="2"/>
  <c r="L1460" i="2"/>
  <c r="M1460" i="2"/>
  <c r="N1460" i="2"/>
  <c r="K1462" i="2"/>
  <c r="L1462" i="2"/>
  <c r="M1462" i="2"/>
  <c r="N1462" i="2"/>
  <c r="K1463" i="2"/>
  <c r="L1463" i="2"/>
  <c r="M1463" i="2"/>
  <c r="N1463" i="2"/>
  <c r="K1461" i="2"/>
  <c r="L1461" i="2"/>
  <c r="M1461" i="2"/>
  <c r="N1461" i="2"/>
  <c r="K1464" i="2"/>
  <c r="L1464" i="2"/>
  <c r="M1464" i="2"/>
  <c r="N1464" i="2"/>
  <c r="K1465" i="2"/>
  <c r="L1465" i="2"/>
  <c r="M1465" i="2"/>
  <c r="N1465" i="2"/>
  <c r="K1472" i="2"/>
  <c r="L1472" i="2"/>
  <c r="M1472" i="2"/>
  <c r="N1472" i="2"/>
  <c r="K1473" i="2"/>
  <c r="L1473" i="2"/>
  <c r="M1473" i="2"/>
  <c r="N1473" i="2"/>
  <c r="K1474" i="2"/>
  <c r="L1474" i="2"/>
  <c r="M1474" i="2"/>
  <c r="N1474" i="2"/>
  <c r="K1475" i="2"/>
  <c r="L1475" i="2"/>
  <c r="M1475" i="2"/>
  <c r="N1475" i="2"/>
  <c r="K1477" i="2"/>
  <c r="L1477" i="2"/>
  <c r="M1477" i="2"/>
  <c r="N1477" i="2"/>
  <c r="K1481" i="2"/>
  <c r="L1481" i="2"/>
  <c r="M1481" i="2"/>
  <c r="N1481" i="2"/>
  <c r="K1488" i="2"/>
  <c r="L1488" i="2"/>
  <c r="M1488" i="2"/>
  <c r="N1488" i="2"/>
  <c r="K1487" i="2"/>
  <c r="L1487" i="2"/>
  <c r="M1487" i="2"/>
  <c r="N1487" i="2"/>
  <c r="K1491" i="2"/>
  <c r="L1491" i="2"/>
  <c r="M1491" i="2"/>
  <c r="N1491" i="2"/>
  <c r="K1490" i="2"/>
  <c r="L1490" i="2"/>
  <c r="M1490" i="2"/>
  <c r="N1490" i="2"/>
  <c r="K1493" i="2"/>
  <c r="L1493" i="2"/>
  <c r="M1493" i="2"/>
  <c r="N1493" i="2"/>
  <c r="K1492" i="2"/>
  <c r="L1492" i="2"/>
  <c r="M1492" i="2"/>
  <c r="N1492" i="2"/>
  <c r="K1497" i="2"/>
  <c r="L1497" i="2"/>
  <c r="M1497" i="2"/>
  <c r="N1497" i="2"/>
  <c r="K1496" i="2"/>
  <c r="L1496" i="2"/>
  <c r="M1496" i="2"/>
  <c r="N1496" i="2"/>
  <c r="K1498" i="2"/>
  <c r="L1498" i="2"/>
  <c r="M1498" i="2"/>
  <c r="N1498" i="2"/>
  <c r="K1502" i="2"/>
  <c r="L1502" i="2"/>
  <c r="M1502" i="2"/>
  <c r="N1502" i="2"/>
  <c r="K1503" i="2"/>
  <c r="L1503" i="2"/>
  <c r="M1503" i="2"/>
  <c r="N1503" i="2"/>
  <c r="K1509" i="2"/>
  <c r="L1509" i="2"/>
  <c r="M1509" i="2"/>
  <c r="N1509" i="2"/>
  <c r="K1510" i="2"/>
  <c r="L1510" i="2"/>
  <c r="M1510" i="2"/>
  <c r="N1510" i="2"/>
  <c r="K1511" i="2"/>
  <c r="L1511" i="2"/>
  <c r="M1511" i="2"/>
  <c r="N1511" i="2"/>
  <c r="K1507" i="2"/>
  <c r="L1507" i="2"/>
  <c r="M1507" i="2"/>
  <c r="N1507" i="2"/>
  <c r="K1508" i="2"/>
  <c r="L1508" i="2"/>
  <c r="M1508" i="2"/>
  <c r="N1508" i="2"/>
  <c r="K1515" i="2"/>
  <c r="L1515" i="2"/>
  <c r="M1515" i="2"/>
  <c r="N1515" i="2"/>
  <c r="K1514" i="2"/>
  <c r="L1514" i="2"/>
  <c r="M1514" i="2"/>
  <c r="N1514" i="2"/>
  <c r="K1524" i="2"/>
  <c r="L1524" i="2"/>
  <c r="M1524" i="2"/>
  <c r="N1524" i="2"/>
  <c r="K1519" i="2"/>
  <c r="L1519" i="2"/>
  <c r="M1519" i="2"/>
  <c r="N1519" i="2"/>
  <c r="K1520" i="2"/>
  <c r="L1520" i="2"/>
  <c r="M1520" i="2"/>
  <c r="N1520" i="2"/>
  <c r="K1521" i="2"/>
  <c r="L1521" i="2"/>
  <c r="M1521" i="2"/>
  <c r="N1521" i="2"/>
  <c r="K1522" i="2"/>
  <c r="L1522" i="2"/>
  <c r="M1522" i="2"/>
  <c r="N1522" i="2"/>
  <c r="K1523" i="2"/>
  <c r="L1523" i="2"/>
  <c r="M1523" i="2"/>
  <c r="N1523" i="2"/>
  <c r="K1518" i="2"/>
  <c r="L1518" i="2"/>
  <c r="M1518" i="2"/>
  <c r="N1518" i="2"/>
  <c r="K1525" i="2"/>
  <c r="L1525" i="2"/>
  <c r="M1525" i="2"/>
  <c r="N1525" i="2"/>
  <c r="K1526" i="2"/>
  <c r="L1526" i="2"/>
  <c r="M1526" i="2"/>
  <c r="N1526" i="2"/>
  <c r="K1527" i="2"/>
  <c r="L1527" i="2"/>
  <c r="M1527" i="2"/>
  <c r="N1527" i="2"/>
  <c r="K1528" i="2"/>
  <c r="L1528" i="2"/>
  <c r="M1528" i="2"/>
  <c r="N1528" i="2"/>
  <c r="K1529" i="2"/>
  <c r="L1529" i="2"/>
  <c r="M1529" i="2"/>
  <c r="N1529" i="2"/>
  <c r="K1530" i="2"/>
  <c r="L1530" i="2"/>
  <c r="M1530" i="2"/>
  <c r="N1530" i="2"/>
  <c r="K1531" i="2"/>
  <c r="L1531" i="2"/>
  <c r="M1531" i="2"/>
  <c r="N1531" i="2"/>
  <c r="K1532" i="2"/>
  <c r="L1532" i="2"/>
  <c r="M1532" i="2"/>
  <c r="N1532" i="2"/>
  <c r="K1533" i="2"/>
  <c r="L1533" i="2"/>
  <c r="M1533" i="2"/>
  <c r="N1533" i="2"/>
  <c r="K1534" i="2"/>
  <c r="L1534" i="2"/>
  <c r="M1534" i="2"/>
  <c r="N1534" i="2"/>
  <c r="K1535" i="2"/>
  <c r="L1535" i="2"/>
  <c r="M1535" i="2"/>
  <c r="N1535" i="2"/>
  <c r="K1536" i="2"/>
  <c r="L1536" i="2"/>
  <c r="M1536" i="2"/>
  <c r="N1536" i="2"/>
  <c r="K1537" i="2"/>
  <c r="L1537" i="2"/>
  <c r="M1537" i="2"/>
  <c r="N1537" i="2"/>
  <c r="K1538" i="2"/>
  <c r="L1538" i="2"/>
  <c r="M1538" i="2"/>
  <c r="N1538" i="2"/>
  <c r="K1539" i="2"/>
  <c r="L1539" i="2"/>
  <c r="M1539" i="2"/>
  <c r="N1539" i="2"/>
  <c r="K1540" i="2"/>
  <c r="L1540" i="2"/>
  <c r="M1540" i="2"/>
  <c r="N1540" i="2"/>
  <c r="K1541" i="2"/>
  <c r="L1541" i="2"/>
  <c r="M1541" i="2"/>
  <c r="N1541" i="2"/>
  <c r="K1542" i="2"/>
  <c r="L1542" i="2"/>
  <c r="M1542" i="2"/>
  <c r="N1542" i="2"/>
  <c r="K1543" i="2"/>
  <c r="L1543" i="2"/>
  <c r="M1543" i="2"/>
  <c r="N1543" i="2"/>
  <c r="K1544" i="2"/>
  <c r="L1544" i="2"/>
  <c r="M1544" i="2"/>
  <c r="N1544" i="2"/>
  <c r="K1545" i="2"/>
  <c r="L1545" i="2"/>
  <c r="M1545" i="2"/>
  <c r="N1545" i="2"/>
  <c r="K1546" i="2"/>
  <c r="L1546" i="2"/>
  <c r="M1546" i="2"/>
  <c r="N1546" i="2"/>
  <c r="K1547" i="2"/>
  <c r="L1547" i="2"/>
  <c r="M1547" i="2"/>
  <c r="N1547" i="2"/>
  <c r="K1548" i="2"/>
  <c r="L1548" i="2"/>
  <c r="M1548" i="2"/>
  <c r="N1548" i="2"/>
  <c r="K1549" i="2"/>
  <c r="L1549" i="2"/>
  <c r="M1549" i="2"/>
  <c r="N1549" i="2"/>
  <c r="K1550" i="2"/>
  <c r="L1550" i="2"/>
  <c r="M1550" i="2"/>
  <c r="N1550" i="2"/>
  <c r="K1551" i="2"/>
  <c r="L1551" i="2"/>
  <c r="M1551" i="2"/>
  <c r="N1551" i="2"/>
  <c r="K1552" i="2"/>
  <c r="L1552" i="2"/>
  <c r="M1552" i="2"/>
  <c r="N1552" i="2"/>
  <c r="K1553" i="2"/>
  <c r="L1553" i="2"/>
  <c r="M1553" i="2"/>
  <c r="N1553" i="2"/>
  <c r="K1554" i="2"/>
  <c r="L1554" i="2"/>
  <c r="M1554" i="2"/>
  <c r="N1554" i="2"/>
  <c r="K1555" i="2"/>
  <c r="L1555" i="2"/>
  <c r="M1555" i="2"/>
  <c r="N1555" i="2"/>
  <c r="K1556" i="2"/>
  <c r="L1556" i="2"/>
  <c r="M1556" i="2"/>
  <c r="N1556" i="2"/>
  <c r="K1557" i="2"/>
  <c r="L1557" i="2"/>
  <c r="M1557" i="2"/>
  <c r="N1557" i="2"/>
  <c r="K1558" i="2"/>
  <c r="L1558" i="2"/>
  <c r="M1558" i="2"/>
  <c r="N1558" i="2"/>
  <c r="K1559" i="2"/>
  <c r="L1559" i="2"/>
  <c r="M1559" i="2"/>
  <c r="N1559" i="2"/>
  <c r="K1560" i="2"/>
  <c r="L1560" i="2"/>
  <c r="M1560" i="2"/>
  <c r="N1560" i="2"/>
  <c r="K1561" i="2"/>
  <c r="L1561" i="2"/>
  <c r="M1561" i="2"/>
  <c r="N1561" i="2"/>
  <c r="K1563" i="2"/>
  <c r="L1563" i="2"/>
  <c r="M1563" i="2"/>
  <c r="N1563" i="2"/>
  <c r="K1564" i="2"/>
  <c r="L1564" i="2"/>
  <c r="M1564" i="2"/>
  <c r="N1564" i="2"/>
  <c r="K1567" i="2"/>
  <c r="L1567" i="2"/>
  <c r="M1567" i="2"/>
  <c r="N1567" i="2"/>
  <c r="K1568" i="2"/>
  <c r="L1568" i="2"/>
  <c r="M1568" i="2"/>
  <c r="N1568" i="2"/>
  <c r="K1569" i="2"/>
  <c r="L1569" i="2"/>
  <c r="M1569" i="2"/>
  <c r="N1569" i="2"/>
  <c r="K1570" i="2"/>
  <c r="L1570" i="2"/>
  <c r="M1570" i="2"/>
  <c r="N1570" i="2"/>
  <c r="K1571" i="2"/>
  <c r="L1571" i="2"/>
  <c r="M1571" i="2"/>
  <c r="N1571" i="2"/>
  <c r="K1573" i="2"/>
  <c r="L1573" i="2"/>
  <c r="M1573" i="2"/>
  <c r="N1573" i="2"/>
  <c r="K1576" i="2"/>
  <c r="L1576" i="2"/>
  <c r="M1576" i="2"/>
  <c r="N1576" i="2"/>
  <c r="K1577" i="2"/>
  <c r="L1577" i="2"/>
  <c r="M1577" i="2"/>
  <c r="N1577" i="2"/>
  <c r="K1574" i="2"/>
  <c r="L1574" i="2"/>
  <c r="M1574" i="2"/>
  <c r="N1574" i="2"/>
  <c r="K1581" i="2"/>
  <c r="L1581" i="2"/>
  <c r="M1581" i="2"/>
  <c r="N1581" i="2"/>
  <c r="K1586" i="2"/>
  <c r="L1586" i="2"/>
  <c r="M1586" i="2"/>
  <c r="N1586" i="2"/>
  <c r="K1588" i="2"/>
  <c r="L1588" i="2"/>
  <c r="M1588" i="2"/>
  <c r="N1588" i="2"/>
  <c r="K1592" i="2"/>
  <c r="L1592" i="2"/>
  <c r="M1592" i="2"/>
  <c r="N1592" i="2"/>
  <c r="K1589" i="2"/>
  <c r="L1589" i="2"/>
  <c r="M1589" i="2"/>
  <c r="N1589" i="2"/>
  <c r="K1590" i="2"/>
  <c r="L1590" i="2"/>
  <c r="M1590" i="2"/>
  <c r="N1590" i="2"/>
  <c r="K1591" i="2"/>
  <c r="L1591" i="2"/>
  <c r="M1591" i="2"/>
  <c r="N1591" i="2"/>
  <c r="K1587" i="2"/>
  <c r="L1587" i="2"/>
  <c r="M1587" i="2"/>
  <c r="N1587" i="2"/>
  <c r="K1602" i="2"/>
  <c r="L1602" i="2"/>
  <c r="M1602" i="2"/>
  <c r="N1602" i="2"/>
  <c r="K1610" i="2"/>
  <c r="L1610" i="2"/>
  <c r="M1610" i="2"/>
  <c r="N1610" i="2"/>
  <c r="K1611" i="2"/>
  <c r="L1611" i="2"/>
  <c r="M1611" i="2"/>
  <c r="N1611" i="2"/>
  <c r="K1613" i="2"/>
  <c r="L1613" i="2"/>
  <c r="M1613" i="2"/>
  <c r="N1613" i="2"/>
  <c r="K1614" i="2"/>
  <c r="L1614" i="2"/>
  <c r="M1614" i="2"/>
  <c r="N1614" i="2"/>
  <c r="K1615" i="2"/>
  <c r="L1615" i="2"/>
  <c r="M1615" i="2"/>
  <c r="N1615" i="2"/>
  <c r="K1616" i="2"/>
  <c r="L1616" i="2"/>
  <c r="M1616" i="2"/>
  <c r="N1616" i="2"/>
  <c r="K1617" i="2"/>
  <c r="L1617" i="2"/>
  <c r="M1617" i="2"/>
  <c r="N1617" i="2"/>
  <c r="K1620" i="2"/>
  <c r="L1620" i="2"/>
  <c r="M1620" i="2"/>
  <c r="N1620" i="2"/>
  <c r="K1621" i="2"/>
  <c r="L1621" i="2"/>
  <c r="M1621" i="2"/>
  <c r="N1621" i="2"/>
  <c r="K1622" i="2"/>
  <c r="L1622" i="2"/>
  <c r="M1622" i="2"/>
  <c r="N1622" i="2"/>
  <c r="K1624" i="2"/>
  <c r="L1624" i="2"/>
  <c r="M1624" i="2"/>
  <c r="N1624" i="2"/>
  <c r="K1625" i="2"/>
  <c r="L1625" i="2"/>
  <c r="M1625" i="2"/>
  <c r="N1625" i="2"/>
  <c r="K1626" i="2"/>
  <c r="L1626" i="2"/>
  <c r="M1626" i="2"/>
  <c r="N1626" i="2"/>
  <c r="K1627" i="2"/>
  <c r="L1627" i="2"/>
  <c r="M1627" i="2"/>
  <c r="N1627" i="2"/>
  <c r="K1630" i="2"/>
  <c r="L1630" i="2"/>
  <c r="M1630" i="2"/>
  <c r="N1630" i="2"/>
  <c r="K1631" i="2"/>
  <c r="L1631" i="2"/>
  <c r="M1631" i="2"/>
  <c r="N1631" i="2"/>
  <c r="K1632" i="2"/>
  <c r="L1632" i="2"/>
  <c r="M1632" i="2"/>
  <c r="N1632" i="2"/>
  <c r="K1633" i="2"/>
  <c r="L1633" i="2"/>
  <c r="M1633" i="2"/>
  <c r="N1633" i="2"/>
  <c r="K1635" i="2"/>
  <c r="L1635" i="2"/>
  <c r="M1635" i="2"/>
  <c r="N1635" i="2"/>
  <c r="K1634" i="2"/>
  <c r="L1634" i="2"/>
  <c r="M1634" i="2"/>
  <c r="N1634" i="2"/>
  <c r="K1636" i="2"/>
  <c r="L1636" i="2"/>
  <c r="M1636" i="2"/>
  <c r="N1636" i="2"/>
  <c r="K1638" i="2"/>
  <c r="L1638" i="2"/>
  <c r="M1638" i="2"/>
  <c r="N1638" i="2"/>
  <c r="K1641" i="2"/>
  <c r="L1641" i="2"/>
  <c r="M1641" i="2"/>
  <c r="N1641" i="2"/>
  <c r="K1639" i="2"/>
  <c r="L1639" i="2"/>
  <c r="M1639" i="2"/>
  <c r="N1639" i="2"/>
  <c r="K1640" i="2"/>
  <c r="L1640" i="2"/>
  <c r="M1640" i="2"/>
  <c r="N1640" i="2"/>
  <c r="K1644" i="2"/>
  <c r="L1644" i="2"/>
  <c r="M1644" i="2"/>
  <c r="N1644" i="2"/>
  <c r="K1651" i="2"/>
  <c r="L1651" i="2"/>
  <c r="M1651" i="2"/>
  <c r="N1651" i="2"/>
  <c r="K1648" i="2"/>
  <c r="L1648" i="2"/>
  <c r="M1648" i="2"/>
  <c r="N1648" i="2"/>
  <c r="K1649" i="2"/>
  <c r="L1649" i="2"/>
  <c r="M1649" i="2"/>
  <c r="N1649" i="2"/>
  <c r="K1650" i="2"/>
  <c r="L1650" i="2"/>
  <c r="M1650" i="2"/>
  <c r="N1650" i="2"/>
  <c r="K1653" i="2"/>
  <c r="L1653" i="2"/>
  <c r="M1653" i="2"/>
  <c r="N1653" i="2"/>
  <c r="K1652" i="2"/>
  <c r="L1652" i="2"/>
  <c r="M1652" i="2"/>
  <c r="N1652" i="2"/>
  <c r="K1654" i="2"/>
  <c r="L1654" i="2"/>
  <c r="M1654" i="2"/>
  <c r="N1654" i="2"/>
  <c r="K1655" i="2"/>
  <c r="L1655" i="2"/>
  <c r="M1655" i="2"/>
  <c r="N1655" i="2"/>
  <c r="K1656" i="2"/>
  <c r="L1656" i="2"/>
  <c r="M1656" i="2"/>
  <c r="N1656" i="2"/>
  <c r="K1659" i="2"/>
  <c r="L1659" i="2"/>
  <c r="M1659" i="2"/>
  <c r="N1659" i="2"/>
  <c r="K1657" i="2"/>
  <c r="L1657" i="2"/>
  <c r="M1657" i="2"/>
  <c r="N1657" i="2"/>
  <c r="K1658" i="2"/>
  <c r="L1658" i="2"/>
  <c r="M1658" i="2"/>
  <c r="N1658" i="2"/>
  <c r="K1660" i="2"/>
  <c r="L1660" i="2"/>
  <c r="M1660" i="2"/>
  <c r="N1660" i="2"/>
  <c r="K1666" i="2"/>
  <c r="L1666" i="2"/>
  <c r="M1666" i="2"/>
  <c r="N1666" i="2"/>
  <c r="K1661" i="2"/>
  <c r="L1661" i="2"/>
  <c r="M1661" i="2"/>
  <c r="N1661" i="2"/>
  <c r="K1667" i="2"/>
  <c r="L1667" i="2"/>
  <c r="M1667" i="2"/>
  <c r="N1667" i="2"/>
  <c r="K1665" i="2"/>
  <c r="L1665" i="2"/>
  <c r="M1665" i="2"/>
  <c r="N1665" i="2"/>
  <c r="K1670" i="2"/>
  <c r="L1670" i="2"/>
  <c r="M1670" i="2"/>
  <c r="N1670" i="2"/>
  <c r="K1671" i="2"/>
  <c r="L1671" i="2"/>
  <c r="M1671" i="2"/>
  <c r="N1671" i="2"/>
  <c r="K1672" i="2"/>
  <c r="L1672" i="2"/>
  <c r="M1672" i="2"/>
  <c r="N1672" i="2"/>
  <c r="K1676" i="2"/>
  <c r="L1676" i="2"/>
  <c r="M1676" i="2"/>
  <c r="N1676" i="2"/>
  <c r="K1678" i="2"/>
  <c r="L1678" i="2"/>
  <c r="M1678" i="2"/>
  <c r="N1678" i="2"/>
  <c r="K1677" i="2"/>
  <c r="L1677" i="2"/>
  <c r="M1677" i="2"/>
  <c r="N1677" i="2"/>
  <c r="K1681" i="2"/>
  <c r="L1681" i="2"/>
  <c r="M1681" i="2"/>
  <c r="N1681" i="2"/>
  <c r="K1690" i="2"/>
  <c r="L1690" i="2"/>
  <c r="M1690" i="2"/>
  <c r="N1690" i="2"/>
  <c r="K1698" i="2"/>
  <c r="L1698" i="2"/>
  <c r="M1698" i="2"/>
  <c r="N1698" i="2"/>
  <c r="K1699" i="2"/>
  <c r="L1699" i="2"/>
  <c r="M1699" i="2"/>
  <c r="N1699" i="2"/>
  <c r="K1701" i="2"/>
  <c r="L1701" i="2"/>
  <c r="M1701" i="2"/>
  <c r="N1701" i="2"/>
  <c r="K1704" i="2"/>
  <c r="L1704" i="2"/>
  <c r="M1704" i="2"/>
  <c r="N1704" i="2"/>
  <c r="K1707" i="2"/>
  <c r="L1707" i="2"/>
  <c r="M1707" i="2"/>
  <c r="N1707" i="2"/>
  <c r="K1705" i="2"/>
  <c r="L1705" i="2"/>
  <c r="M1705" i="2"/>
  <c r="N1705" i="2"/>
  <c r="K1708" i="2"/>
  <c r="L1708" i="2"/>
  <c r="M1708" i="2"/>
  <c r="N1708" i="2"/>
  <c r="K1709" i="2"/>
  <c r="L1709" i="2"/>
  <c r="M1709" i="2"/>
  <c r="N1709" i="2"/>
  <c r="K1706" i="2"/>
  <c r="L1706" i="2"/>
  <c r="M1706" i="2"/>
  <c r="N1706" i="2"/>
  <c r="K1711" i="2"/>
  <c r="L1711" i="2"/>
  <c r="M1711" i="2"/>
  <c r="N1711" i="2"/>
  <c r="K1710" i="2"/>
  <c r="L1710" i="2"/>
  <c r="M1710" i="2"/>
  <c r="N1710" i="2"/>
  <c r="K1716" i="2"/>
  <c r="L1716" i="2"/>
  <c r="M1716" i="2"/>
  <c r="N1716" i="2"/>
  <c r="K1715" i="2"/>
  <c r="L1715" i="2"/>
  <c r="M1715" i="2"/>
  <c r="N1715" i="2"/>
  <c r="K1712" i="2"/>
  <c r="L1712" i="2"/>
  <c r="M1712" i="2"/>
  <c r="N1712" i="2"/>
  <c r="K1717" i="2"/>
  <c r="L1717" i="2"/>
  <c r="M1717" i="2"/>
  <c r="N1717" i="2"/>
  <c r="K1720" i="2"/>
  <c r="L1720" i="2"/>
  <c r="M1720" i="2"/>
  <c r="N1720" i="2"/>
  <c r="K1721" i="2"/>
  <c r="L1721" i="2"/>
  <c r="M1721" i="2"/>
  <c r="N1721" i="2"/>
  <c r="K1719" i="2"/>
  <c r="L1719" i="2"/>
  <c r="M1719" i="2"/>
  <c r="N1719" i="2"/>
  <c r="K1728" i="2"/>
  <c r="L1728" i="2"/>
  <c r="M1728" i="2"/>
  <c r="N1728" i="2"/>
  <c r="K1729" i="2"/>
  <c r="L1729" i="2"/>
  <c r="M1729" i="2"/>
  <c r="N1729" i="2"/>
  <c r="K1734" i="2"/>
  <c r="L1734" i="2"/>
  <c r="M1734" i="2"/>
  <c r="N1734" i="2"/>
  <c r="K1742" i="2"/>
  <c r="L1742" i="2"/>
  <c r="M1742" i="2"/>
  <c r="N1742" i="2"/>
  <c r="K1740" i="2"/>
  <c r="L1740" i="2"/>
  <c r="M1740" i="2"/>
  <c r="N1740" i="2"/>
  <c r="K1739" i="2"/>
  <c r="L1739" i="2"/>
  <c r="M1739" i="2"/>
  <c r="N1739" i="2"/>
  <c r="K1741" i="2"/>
  <c r="L1741" i="2"/>
  <c r="M1741" i="2"/>
  <c r="N1741" i="2"/>
  <c r="K1743" i="2"/>
  <c r="L1743" i="2"/>
  <c r="M1743" i="2"/>
  <c r="N1743" i="2"/>
  <c r="K1747" i="2"/>
  <c r="L1747" i="2"/>
  <c r="M1747" i="2"/>
  <c r="N1747" i="2"/>
  <c r="K1748" i="2"/>
  <c r="L1748" i="2"/>
  <c r="M1748" i="2"/>
  <c r="N1748" i="2"/>
  <c r="K1749" i="2"/>
  <c r="L1749" i="2"/>
  <c r="M1749" i="2"/>
  <c r="N1749" i="2"/>
  <c r="K1752" i="2"/>
  <c r="L1752" i="2"/>
  <c r="M1752" i="2"/>
  <c r="N1752" i="2"/>
  <c r="K1751" i="2"/>
  <c r="L1751" i="2"/>
  <c r="M1751" i="2"/>
  <c r="N1751" i="2"/>
  <c r="K1758" i="2"/>
  <c r="L1758" i="2"/>
  <c r="M1758" i="2"/>
  <c r="N1758" i="2"/>
  <c r="K1757" i="2"/>
  <c r="L1757" i="2"/>
  <c r="M1757" i="2"/>
  <c r="N1757" i="2"/>
  <c r="K1761" i="2"/>
  <c r="L1761" i="2"/>
  <c r="M1761" i="2"/>
  <c r="N1761" i="2"/>
  <c r="K1762" i="2"/>
  <c r="L1762" i="2"/>
  <c r="M1762" i="2"/>
  <c r="N1762" i="2"/>
  <c r="K1763" i="2"/>
  <c r="L1763" i="2"/>
  <c r="M1763" i="2"/>
  <c r="N1763" i="2"/>
  <c r="K1760" i="2"/>
  <c r="L1760" i="2"/>
  <c r="M1760" i="2"/>
  <c r="N1760" i="2"/>
  <c r="K1764" i="2"/>
  <c r="L1764" i="2"/>
  <c r="M1764" i="2"/>
  <c r="N1764" i="2"/>
  <c r="K1781" i="2"/>
  <c r="L1781" i="2"/>
  <c r="M1781" i="2"/>
  <c r="N1781" i="2"/>
  <c r="K1766" i="2"/>
  <c r="L1766" i="2"/>
  <c r="M1766" i="2"/>
  <c r="N1766" i="2"/>
  <c r="K1767" i="2"/>
  <c r="L1767" i="2"/>
  <c r="M1767" i="2"/>
  <c r="N1767" i="2"/>
  <c r="K1768" i="2"/>
  <c r="L1768" i="2"/>
  <c r="M1768" i="2"/>
  <c r="N1768" i="2"/>
  <c r="K1769" i="2"/>
  <c r="L1769" i="2"/>
  <c r="M1769" i="2"/>
  <c r="N1769" i="2"/>
  <c r="K1783" i="2"/>
  <c r="L1783" i="2"/>
  <c r="M1783" i="2"/>
  <c r="N1783" i="2"/>
  <c r="K1789" i="2"/>
  <c r="L1789" i="2"/>
  <c r="M1789" i="2"/>
  <c r="N1789" i="2"/>
  <c r="K1794" i="2"/>
  <c r="L1794" i="2"/>
  <c r="M1794" i="2"/>
  <c r="N1794" i="2"/>
  <c r="K1795" i="2"/>
  <c r="L1795" i="2"/>
  <c r="M1795" i="2"/>
  <c r="N1795" i="2"/>
  <c r="K1796" i="2"/>
  <c r="L1796" i="2"/>
  <c r="M1796" i="2"/>
  <c r="N1796" i="2"/>
  <c r="K1797" i="2"/>
  <c r="L1797" i="2"/>
  <c r="M1797" i="2"/>
  <c r="N1797" i="2"/>
  <c r="K1790" i="2"/>
  <c r="L1790" i="2"/>
  <c r="M1790" i="2"/>
  <c r="N1790" i="2"/>
  <c r="K1801" i="2"/>
  <c r="L1801" i="2"/>
  <c r="M1801" i="2"/>
  <c r="N1801" i="2"/>
  <c r="K1805" i="2"/>
  <c r="L1805" i="2"/>
  <c r="M1805" i="2"/>
  <c r="N1805" i="2"/>
  <c r="K1813" i="2"/>
  <c r="L1813" i="2"/>
  <c r="M1813" i="2"/>
  <c r="N1813" i="2"/>
  <c r="K1814" i="2"/>
  <c r="L1814" i="2"/>
  <c r="M1814" i="2"/>
  <c r="N1814" i="2"/>
  <c r="K1812" i="2"/>
  <c r="L1812" i="2"/>
  <c r="M1812" i="2"/>
  <c r="N1812" i="2"/>
  <c r="K1820" i="2"/>
  <c r="L1820" i="2"/>
  <c r="M1820" i="2"/>
  <c r="N1820" i="2"/>
  <c r="K1821" i="2"/>
  <c r="L1821" i="2"/>
  <c r="M1821" i="2"/>
  <c r="N1821" i="2"/>
  <c r="K1819" i="2"/>
  <c r="L1819" i="2"/>
  <c r="M1819" i="2"/>
  <c r="N1819" i="2"/>
  <c r="K1825" i="2"/>
  <c r="L1825" i="2"/>
  <c r="M1825" i="2"/>
  <c r="N1825" i="2"/>
  <c r="K1827" i="2"/>
  <c r="L1827" i="2"/>
  <c r="M1827" i="2"/>
  <c r="N1827" i="2"/>
  <c r="K1826" i="2"/>
  <c r="L1826" i="2"/>
  <c r="M1826" i="2"/>
  <c r="N1826" i="2"/>
  <c r="K1831" i="2"/>
  <c r="L1831" i="2"/>
  <c r="M1831" i="2"/>
  <c r="N1831" i="2"/>
  <c r="K1839" i="2"/>
  <c r="L1839" i="2"/>
  <c r="M1839" i="2"/>
  <c r="N1839" i="2"/>
  <c r="K1840" i="2"/>
  <c r="L1840" i="2"/>
  <c r="M1840" i="2"/>
  <c r="N1840" i="2"/>
  <c r="K1836" i="2"/>
  <c r="L1836" i="2"/>
  <c r="M1836" i="2"/>
  <c r="N1836" i="2"/>
  <c r="K1837" i="2"/>
  <c r="L1837" i="2"/>
  <c r="M1837" i="2"/>
  <c r="N1837" i="2"/>
  <c r="K1838" i="2"/>
  <c r="L1838" i="2"/>
  <c r="M1838" i="2"/>
  <c r="N1838" i="2"/>
  <c r="K1845" i="2"/>
  <c r="L1845" i="2"/>
  <c r="M1845" i="2"/>
  <c r="N1845" i="2"/>
  <c r="K1846" i="2"/>
  <c r="L1846" i="2"/>
  <c r="M1846" i="2"/>
  <c r="N1846" i="2"/>
  <c r="K1857" i="2"/>
  <c r="L1857" i="2"/>
  <c r="M1857" i="2"/>
  <c r="N1857" i="2"/>
  <c r="K1858" i="2"/>
  <c r="L1858" i="2"/>
  <c r="M1858" i="2"/>
  <c r="N1858" i="2"/>
  <c r="K1855" i="2"/>
  <c r="L1855" i="2"/>
  <c r="M1855" i="2"/>
  <c r="N1855" i="2"/>
  <c r="K1859" i="2"/>
  <c r="L1859" i="2"/>
  <c r="M1859" i="2"/>
  <c r="N1859" i="2"/>
  <c r="K1860" i="2"/>
  <c r="L1860" i="2"/>
  <c r="M1860" i="2"/>
  <c r="N1860" i="2"/>
  <c r="K1862" i="2"/>
  <c r="L1862" i="2"/>
  <c r="M1862" i="2"/>
  <c r="N1862" i="2"/>
  <c r="K1866" i="2"/>
  <c r="L1866" i="2"/>
  <c r="M1866" i="2"/>
  <c r="N1866" i="2"/>
  <c r="K1863" i="2"/>
  <c r="L1863" i="2"/>
  <c r="M1863" i="2"/>
  <c r="N1863" i="2"/>
  <c r="K1864" i="2"/>
  <c r="L1864" i="2"/>
  <c r="M1864" i="2"/>
  <c r="N1864" i="2"/>
  <c r="K1865" i="2"/>
  <c r="L1865" i="2"/>
  <c r="M1865" i="2"/>
  <c r="N1865" i="2"/>
  <c r="K1868" i="2"/>
  <c r="L1868" i="2"/>
  <c r="M1868" i="2"/>
  <c r="N1868" i="2"/>
  <c r="K1869" i="2"/>
  <c r="L1869" i="2"/>
  <c r="M1869" i="2"/>
  <c r="N1869" i="2"/>
  <c r="K1870" i="2"/>
  <c r="L1870" i="2"/>
  <c r="M1870" i="2"/>
  <c r="N1870" i="2"/>
  <c r="K1871" i="2"/>
  <c r="L1871" i="2"/>
  <c r="M1871" i="2"/>
  <c r="N1871" i="2"/>
  <c r="K1872" i="2"/>
  <c r="L1872" i="2"/>
  <c r="M1872" i="2"/>
  <c r="N1872" i="2"/>
  <c r="K1873" i="2"/>
  <c r="L1873" i="2"/>
  <c r="M1873" i="2"/>
  <c r="N1873" i="2"/>
  <c r="K1874" i="2"/>
  <c r="L1874" i="2"/>
  <c r="M1874" i="2"/>
  <c r="N1874" i="2"/>
  <c r="K1875" i="2"/>
  <c r="L1875" i="2"/>
  <c r="M1875" i="2"/>
  <c r="N1875" i="2"/>
  <c r="K1876" i="2"/>
  <c r="L1876" i="2"/>
  <c r="M1876" i="2"/>
  <c r="N1876" i="2"/>
  <c r="K1877" i="2"/>
  <c r="L1877" i="2"/>
  <c r="M1877" i="2"/>
  <c r="N1877" i="2"/>
  <c r="K1878" i="2"/>
  <c r="L1878" i="2"/>
  <c r="M1878" i="2"/>
  <c r="N1878" i="2"/>
  <c r="K1879" i="2"/>
  <c r="L1879" i="2"/>
  <c r="M1879" i="2"/>
  <c r="N1879" i="2"/>
  <c r="K1880" i="2"/>
  <c r="L1880" i="2"/>
  <c r="M1880" i="2"/>
  <c r="N1880" i="2"/>
  <c r="K1881" i="2"/>
  <c r="L1881" i="2"/>
  <c r="M1881" i="2"/>
  <c r="N1881" i="2"/>
  <c r="K1882" i="2"/>
  <c r="L1882" i="2"/>
  <c r="M1882" i="2"/>
  <c r="N1882" i="2"/>
  <c r="K1883" i="2"/>
  <c r="L1883" i="2"/>
  <c r="M1883" i="2"/>
  <c r="N1883" i="2"/>
  <c r="K1884" i="2"/>
  <c r="L1884" i="2"/>
  <c r="M1884" i="2"/>
  <c r="N1884" i="2"/>
  <c r="K1885" i="2"/>
  <c r="L1885" i="2"/>
  <c r="M1885" i="2"/>
  <c r="N1885" i="2"/>
  <c r="K1886" i="2"/>
  <c r="L1886" i="2"/>
  <c r="M1886" i="2"/>
  <c r="N1886" i="2"/>
  <c r="K1887" i="2"/>
  <c r="L1887" i="2"/>
  <c r="M1887" i="2"/>
  <c r="N1887" i="2"/>
  <c r="K1888" i="2"/>
  <c r="L1888" i="2"/>
  <c r="M1888" i="2"/>
  <c r="N1888" i="2"/>
  <c r="K1889" i="2"/>
  <c r="L1889" i="2"/>
  <c r="M1889" i="2"/>
  <c r="N1889" i="2"/>
  <c r="K1890" i="2"/>
  <c r="L1890" i="2"/>
  <c r="M1890" i="2"/>
  <c r="N1890" i="2"/>
  <c r="K1891" i="2"/>
  <c r="L1891" i="2"/>
  <c r="M1891" i="2"/>
  <c r="N1891" i="2"/>
  <c r="K1895" i="2"/>
  <c r="L1895" i="2"/>
  <c r="M1895" i="2"/>
  <c r="N1895" i="2"/>
  <c r="K1893" i="2"/>
  <c r="L1893" i="2"/>
  <c r="M1893" i="2"/>
  <c r="N1893" i="2"/>
  <c r="K1894" i="2"/>
  <c r="L1894" i="2"/>
  <c r="M1894" i="2"/>
  <c r="N1894" i="2"/>
  <c r="K1897" i="2"/>
  <c r="L1897" i="2"/>
  <c r="M1897" i="2"/>
  <c r="N1897" i="2"/>
  <c r="K1904" i="2"/>
  <c r="L1904" i="2"/>
  <c r="M1904" i="2"/>
  <c r="N1904" i="2"/>
  <c r="K1905" i="2"/>
  <c r="L1905" i="2"/>
  <c r="M1905" i="2"/>
  <c r="N1905" i="2"/>
  <c r="K1901" i="2"/>
  <c r="L1901" i="2"/>
  <c r="M1901" i="2"/>
  <c r="N1901" i="2"/>
  <c r="K1916" i="2"/>
  <c r="L1916" i="2"/>
  <c r="M1916" i="2"/>
  <c r="N1916" i="2"/>
  <c r="K1918" i="2"/>
  <c r="L1918" i="2"/>
  <c r="M1918" i="2"/>
  <c r="N1918" i="2"/>
  <c r="K1919" i="2"/>
  <c r="L1919" i="2"/>
  <c r="M1919" i="2"/>
  <c r="N1919" i="2"/>
  <c r="K1924" i="2"/>
  <c r="L1924" i="2"/>
  <c r="M1924" i="2"/>
  <c r="N1924" i="2"/>
  <c r="K1925" i="2"/>
  <c r="L1925" i="2"/>
  <c r="M1925" i="2"/>
  <c r="N1925" i="2"/>
  <c r="K1923" i="2"/>
  <c r="L1923" i="2"/>
  <c r="M1923" i="2"/>
  <c r="N1923" i="2"/>
  <c r="K1927" i="2"/>
  <c r="L1927" i="2"/>
  <c r="M1927" i="2"/>
  <c r="N1927" i="2"/>
  <c r="K1928" i="2"/>
  <c r="L1928" i="2"/>
  <c r="M1928" i="2"/>
  <c r="N1928" i="2"/>
  <c r="K1929" i="2"/>
  <c r="L1929" i="2"/>
  <c r="M1929" i="2"/>
  <c r="N1929" i="2"/>
  <c r="K1931" i="2"/>
  <c r="L1931" i="2"/>
  <c r="M1931" i="2"/>
  <c r="N1931" i="2"/>
  <c r="K141" i="2"/>
  <c r="L141" i="2"/>
  <c r="M141" i="2"/>
  <c r="N141" i="2"/>
  <c r="K257" i="2"/>
  <c r="L257" i="2"/>
  <c r="M257" i="2"/>
  <c r="N257" i="2"/>
  <c r="K387" i="2"/>
  <c r="L387" i="2"/>
  <c r="M387" i="2"/>
  <c r="N387" i="2"/>
  <c r="K461" i="2"/>
  <c r="L461" i="2"/>
  <c r="M461" i="2"/>
  <c r="N461" i="2"/>
  <c r="K485" i="2"/>
  <c r="L485" i="2"/>
  <c r="M485" i="2"/>
  <c r="N485" i="2"/>
  <c r="K496" i="2"/>
  <c r="L496" i="2"/>
  <c r="M496" i="2"/>
  <c r="N496" i="2"/>
  <c r="K629" i="2"/>
  <c r="L629" i="2"/>
  <c r="M629" i="2"/>
  <c r="N629" i="2"/>
  <c r="K686" i="2"/>
  <c r="L686" i="2"/>
  <c r="M686" i="2"/>
  <c r="N686" i="2"/>
  <c r="K693" i="2"/>
  <c r="L693" i="2"/>
  <c r="M693" i="2"/>
  <c r="N693" i="2"/>
  <c r="K941" i="2"/>
  <c r="L941" i="2"/>
  <c r="M941" i="2"/>
  <c r="N941" i="2"/>
  <c r="K1326" i="2"/>
  <c r="L1326" i="2"/>
  <c r="M1326" i="2"/>
  <c r="N1326" i="2"/>
  <c r="K1362" i="2"/>
  <c r="L1362" i="2"/>
  <c r="M1362" i="2"/>
  <c r="N1362" i="2"/>
  <c r="K1682" i="2"/>
  <c r="L1682" i="2"/>
  <c r="M1682" i="2"/>
  <c r="N1682" i="2"/>
  <c r="K1683" i="2"/>
  <c r="L1683" i="2"/>
  <c r="M1683" i="2"/>
  <c r="N1683" i="2"/>
  <c r="K1770" i="2"/>
  <c r="L1770" i="2"/>
  <c r="M1770" i="2"/>
  <c r="N1770" i="2"/>
  <c r="K1771" i="2"/>
  <c r="L1771" i="2"/>
  <c r="M1771" i="2"/>
  <c r="N1771" i="2"/>
  <c r="K1806" i="2"/>
  <c r="L1806" i="2"/>
  <c r="M1806" i="2"/>
  <c r="N1806" i="2"/>
  <c r="K1898" i="2"/>
  <c r="L1898" i="2"/>
  <c r="M1898" i="2"/>
  <c r="N1898" i="2"/>
  <c r="K112" i="2"/>
  <c r="L112" i="2"/>
  <c r="M112" i="2"/>
  <c r="N112" i="2"/>
  <c r="K156" i="2"/>
  <c r="L156" i="2"/>
  <c r="M156" i="2"/>
  <c r="N156" i="2"/>
  <c r="K175" i="2"/>
  <c r="L175" i="2"/>
  <c r="M175" i="2"/>
  <c r="N175" i="2"/>
  <c r="K176" i="2"/>
  <c r="L176" i="2"/>
  <c r="M176" i="2"/>
  <c r="N176" i="2"/>
  <c r="K245" i="2"/>
  <c r="L245" i="2"/>
  <c r="M245" i="2"/>
  <c r="N245" i="2"/>
  <c r="K249" i="2"/>
  <c r="L249" i="2"/>
  <c r="M249" i="2"/>
  <c r="N249" i="2"/>
  <c r="K280" i="2"/>
  <c r="L280" i="2"/>
  <c r="M280" i="2"/>
  <c r="N280" i="2"/>
  <c r="K294" i="2"/>
  <c r="L294" i="2"/>
  <c r="M294" i="2"/>
  <c r="N294" i="2"/>
  <c r="K312" i="2"/>
  <c r="L312" i="2"/>
  <c r="M312" i="2"/>
  <c r="N312" i="2"/>
  <c r="K341" i="2"/>
  <c r="L341" i="2"/>
  <c r="M341" i="2"/>
  <c r="N341" i="2"/>
  <c r="K342" i="2"/>
  <c r="L342" i="2"/>
  <c r="M342" i="2"/>
  <c r="N342" i="2"/>
  <c r="K533" i="2"/>
  <c r="L533" i="2"/>
  <c r="M533" i="2"/>
  <c r="N533" i="2"/>
  <c r="K551" i="2"/>
  <c r="L551" i="2"/>
  <c r="M551" i="2"/>
  <c r="N551" i="2"/>
  <c r="K622" i="2"/>
  <c r="L622" i="2"/>
  <c r="M622" i="2"/>
  <c r="N622" i="2"/>
  <c r="K677" i="2"/>
  <c r="L677" i="2"/>
  <c r="M677" i="2"/>
  <c r="N677" i="2"/>
  <c r="K694" i="2"/>
  <c r="L694" i="2"/>
  <c r="M694" i="2"/>
  <c r="N694" i="2"/>
  <c r="K695" i="2"/>
  <c r="L695" i="2"/>
  <c r="M695" i="2"/>
  <c r="N695" i="2"/>
  <c r="K751" i="2"/>
  <c r="L751" i="2"/>
  <c r="M751" i="2"/>
  <c r="N751" i="2"/>
  <c r="K752" i="2"/>
  <c r="L752" i="2"/>
  <c r="M752" i="2"/>
  <c r="N752" i="2"/>
  <c r="K827" i="2"/>
  <c r="L827" i="2"/>
  <c r="M827" i="2"/>
  <c r="N827" i="2"/>
  <c r="K830" i="2"/>
  <c r="L830" i="2"/>
  <c r="M830" i="2"/>
  <c r="N830" i="2"/>
  <c r="K836" i="2"/>
  <c r="L836" i="2"/>
  <c r="M836" i="2"/>
  <c r="N836" i="2"/>
  <c r="K854" i="2"/>
  <c r="L854" i="2"/>
  <c r="M854" i="2"/>
  <c r="N854" i="2"/>
  <c r="K866" i="2"/>
  <c r="L866" i="2"/>
  <c r="M866" i="2"/>
  <c r="N866" i="2"/>
  <c r="K916" i="2"/>
  <c r="L916" i="2"/>
  <c r="M916" i="2"/>
  <c r="N916" i="2"/>
  <c r="K921" i="2"/>
  <c r="L921" i="2"/>
  <c r="M921" i="2"/>
  <c r="N921" i="2"/>
  <c r="K932" i="2"/>
  <c r="L932" i="2"/>
  <c r="M932" i="2"/>
  <c r="N932" i="2"/>
  <c r="K1001" i="2"/>
  <c r="L1001" i="2"/>
  <c r="M1001" i="2"/>
  <c r="N1001" i="2"/>
  <c r="K1008" i="2"/>
  <c r="L1008" i="2"/>
  <c r="M1008" i="2"/>
  <c r="N1008" i="2"/>
  <c r="K1012" i="2"/>
  <c r="L1012" i="2"/>
  <c r="M1012" i="2"/>
  <c r="N1012" i="2"/>
  <c r="K1042" i="2"/>
  <c r="L1042" i="2"/>
  <c r="M1042" i="2"/>
  <c r="N1042" i="2"/>
  <c r="K1318" i="2"/>
  <c r="L1318" i="2"/>
  <c r="M1318" i="2"/>
  <c r="N1318" i="2"/>
  <c r="K1336" i="2"/>
  <c r="L1336" i="2"/>
  <c r="M1336" i="2"/>
  <c r="N1336" i="2"/>
  <c r="K1381" i="2"/>
  <c r="L1381" i="2"/>
  <c r="M1381" i="2"/>
  <c r="N1381" i="2"/>
  <c r="K1512" i="2"/>
  <c r="L1512" i="2"/>
  <c r="M1512" i="2"/>
  <c r="N1512" i="2"/>
  <c r="K1628" i="2"/>
  <c r="L1628" i="2"/>
  <c r="M1628" i="2"/>
  <c r="N1628" i="2"/>
  <c r="K1745" i="2"/>
  <c r="L1745" i="2"/>
  <c r="M1745" i="2"/>
  <c r="N1745" i="2"/>
  <c r="K1746" i="2"/>
  <c r="L1746" i="2"/>
  <c r="M1746" i="2"/>
  <c r="N1746" i="2"/>
  <c r="K1759" i="2"/>
  <c r="L1759" i="2"/>
  <c r="M1759" i="2"/>
  <c r="N1759" i="2"/>
  <c r="K1799" i="2"/>
  <c r="L1799" i="2"/>
  <c r="M1799" i="2"/>
  <c r="N1799" i="2"/>
  <c r="K1899" i="2"/>
  <c r="L1899" i="2"/>
  <c r="M1899" i="2"/>
  <c r="N1899" i="2"/>
  <c r="K1909" i="2"/>
  <c r="L1909" i="2"/>
  <c r="M1909" i="2"/>
  <c r="N1909" i="2"/>
  <c r="K1910" i="2"/>
  <c r="L1910" i="2"/>
  <c r="M1910" i="2"/>
  <c r="N1910" i="2"/>
  <c r="K103" i="2"/>
  <c r="L103" i="2"/>
  <c r="M103" i="2"/>
  <c r="N103" i="2"/>
  <c r="K105" i="2"/>
  <c r="L105" i="2"/>
  <c r="M105" i="2"/>
  <c r="N105" i="2"/>
  <c r="K107" i="2"/>
  <c r="L107" i="2"/>
  <c r="M107" i="2"/>
  <c r="N107" i="2"/>
  <c r="K109" i="2"/>
  <c r="L109" i="2"/>
  <c r="M109" i="2"/>
  <c r="N109" i="2"/>
  <c r="K121" i="2"/>
  <c r="L121" i="2"/>
  <c r="M121" i="2"/>
  <c r="N121" i="2"/>
  <c r="K123" i="2"/>
  <c r="L123" i="2"/>
  <c r="M123" i="2"/>
  <c r="N123" i="2"/>
  <c r="K126" i="2"/>
  <c r="L126" i="2"/>
  <c r="M126" i="2"/>
  <c r="N126" i="2"/>
  <c r="K142" i="2"/>
  <c r="L142" i="2"/>
  <c r="M142" i="2"/>
  <c r="N142" i="2"/>
  <c r="K143" i="2"/>
  <c r="L143" i="2"/>
  <c r="M143" i="2"/>
  <c r="N143" i="2"/>
  <c r="K144" i="2"/>
  <c r="L144" i="2"/>
  <c r="M144" i="2"/>
  <c r="N144" i="2"/>
  <c r="K145" i="2"/>
  <c r="L145" i="2"/>
  <c r="M145" i="2"/>
  <c r="N145" i="2"/>
  <c r="K146" i="2"/>
  <c r="L146" i="2"/>
  <c r="M146" i="2"/>
  <c r="N146" i="2"/>
  <c r="K147" i="2"/>
  <c r="L147" i="2"/>
  <c r="M147" i="2"/>
  <c r="N147" i="2"/>
  <c r="K148" i="2"/>
  <c r="L148" i="2"/>
  <c r="M148" i="2"/>
  <c r="N148" i="2"/>
  <c r="K152" i="2"/>
  <c r="L152" i="2"/>
  <c r="M152" i="2"/>
  <c r="N152" i="2"/>
  <c r="K155" i="2"/>
  <c r="L155" i="2"/>
  <c r="M155" i="2"/>
  <c r="N155" i="2"/>
  <c r="K159" i="2"/>
  <c r="L159" i="2"/>
  <c r="M159" i="2"/>
  <c r="N159" i="2"/>
  <c r="K161" i="2"/>
  <c r="L161" i="2"/>
  <c r="M161" i="2"/>
  <c r="N161" i="2"/>
  <c r="K162" i="2"/>
  <c r="L162" i="2"/>
  <c r="M162" i="2"/>
  <c r="N162" i="2"/>
  <c r="K160" i="2"/>
  <c r="L160" i="2"/>
  <c r="M160" i="2"/>
  <c r="N160" i="2"/>
  <c r="K163" i="2"/>
  <c r="L163" i="2"/>
  <c r="M163" i="2"/>
  <c r="N163" i="2"/>
  <c r="K165" i="2"/>
  <c r="L165" i="2"/>
  <c r="M165" i="2"/>
  <c r="N165" i="2"/>
  <c r="K166" i="2"/>
  <c r="L166" i="2"/>
  <c r="M166" i="2"/>
  <c r="N166" i="2"/>
  <c r="K169" i="2"/>
  <c r="L169" i="2"/>
  <c r="M169" i="2"/>
  <c r="N169" i="2"/>
  <c r="K171" i="2"/>
  <c r="L171" i="2"/>
  <c r="M171" i="2"/>
  <c r="N171" i="2"/>
  <c r="K222" i="2"/>
  <c r="L222" i="2"/>
  <c r="M222" i="2"/>
  <c r="N222" i="2"/>
  <c r="K193" i="2"/>
  <c r="L193" i="2"/>
  <c r="M193" i="2"/>
  <c r="N193" i="2"/>
  <c r="K194" i="2"/>
  <c r="L194" i="2"/>
  <c r="M194" i="2"/>
  <c r="N194" i="2"/>
  <c r="K195" i="2"/>
  <c r="L195" i="2"/>
  <c r="M195" i="2"/>
  <c r="N195" i="2"/>
  <c r="K196" i="2"/>
  <c r="L196" i="2"/>
  <c r="M196" i="2"/>
  <c r="N196" i="2"/>
  <c r="K197" i="2"/>
  <c r="L197" i="2"/>
  <c r="M197" i="2"/>
  <c r="N197" i="2"/>
  <c r="K198" i="2"/>
  <c r="L198" i="2"/>
  <c r="M198" i="2"/>
  <c r="N198" i="2"/>
  <c r="K199" i="2"/>
  <c r="L199" i="2"/>
  <c r="M199" i="2"/>
  <c r="N199" i="2"/>
  <c r="K200" i="2"/>
  <c r="L200" i="2"/>
  <c r="M200" i="2"/>
  <c r="N200" i="2"/>
  <c r="K201" i="2"/>
  <c r="L201" i="2"/>
  <c r="M201" i="2"/>
  <c r="N201" i="2"/>
  <c r="K202" i="2"/>
  <c r="L202" i="2"/>
  <c r="M202" i="2"/>
  <c r="N202" i="2"/>
  <c r="K203" i="2"/>
  <c r="L203" i="2"/>
  <c r="M203" i="2"/>
  <c r="N203" i="2"/>
  <c r="K204" i="2"/>
  <c r="L204" i="2"/>
  <c r="M204" i="2"/>
  <c r="N204" i="2"/>
  <c r="K205" i="2"/>
  <c r="L205" i="2"/>
  <c r="M205" i="2"/>
  <c r="N205" i="2"/>
  <c r="K206" i="2"/>
  <c r="L206" i="2"/>
  <c r="M206" i="2"/>
  <c r="N206" i="2"/>
  <c r="K207" i="2"/>
  <c r="L207" i="2"/>
  <c r="M207" i="2"/>
  <c r="N207" i="2"/>
  <c r="K208" i="2"/>
  <c r="L208" i="2"/>
  <c r="M208" i="2"/>
  <c r="N208" i="2"/>
  <c r="K209" i="2"/>
  <c r="L209" i="2"/>
  <c r="M209" i="2"/>
  <c r="N209" i="2"/>
  <c r="K210" i="2"/>
  <c r="L210" i="2"/>
  <c r="M210" i="2"/>
  <c r="N210" i="2"/>
  <c r="K211" i="2"/>
  <c r="L211" i="2"/>
  <c r="M211" i="2"/>
  <c r="N211" i="2"/>
  <c r="K212" i="2"/>
  <c r="L212" i="2"/>
  <c r="M212" i="2"/>
  <c r="N212" i="2"/>
  <c r="K213" i="2"/>
  <c r="L213" i="2"/>
  <c r="M213" i="2"/>
  <c r="N213" i="2"/>
  <c r="K214" i="2"/>
  <c r="L214" i="2"/>
  <c r="M214" i="2"/>
  <c r="N214" i="2"/>
  <c r="K215" i="2"/>
  <c r="L215" i="2"/>
  <c r="M215" i="2"/>
  <c r="N215" i="2"/>
  <c r="K216" i="2"/>
  <c r="L216" i="2"/>
  <c r="M216" i="2"/>
  <c r="N216" i="2"/>
  <c r="K217" i="2"/>
  <c r="L217" i="2"/>
  <c r="M217" i="2"/>
  <c r="N217" i="2"/>
  <c r="K218" i="2"/>
  <c r="L218" i="2"/>
  <c r="M218" i="2"/>
  <c r="N218" i="2"/>
  <c r="K219" i="2"/>
  <c r="L219" i="2"/>
  <c r="M219" i="2"/>
  <c r="N219" i="2"/>
  <c r="K220" i="2"/>
  <c r="L220" i="2"/>
  <c r="M220" i="2"/>
  <c r="N220" i="2"/>
  <c r="K221" i="2"/>
  <c r="L221" i="2"/>
  <c r="M221" i="2"/>
  <c r="N221" i="2"/>
  <c r="K223" i="2"/>
  <c r="L223" i="2"/>
  <c r="M223" i="2"/>
  <c r="N223" i="2"/>
  <c r="K224" i="2"/>
  <c r="L224" i="2"/>
  <c r="M224" i="2"/>
  <c r="N224" i="2"/>
  <c r="K228" i="2"/>
  <c r="L228" i="2"/>
  <c r="M228" i="2"/>
  <c r="N228" i="2"/>
  <c r="K229" i="2"/>
  <c r="L229" i="2"/>
  <c r="M229" i="2"/>
  <c r="N229" i="2"/>
  <c r="K236" i="2"/>
  <c r="L236" i="2"/>
  <c r="M236" i="2"/>
  <c r="N236" i="2"/>
  <c r="K242" i="2"/>
  <c r="L242" i="2"/>
  <c r="M242" i="2"/>
  <c r="N242" i="2"/>
  <c r="K243" i="2"/>
  <c r="L243" i="2"/>
  <c r="M243" i="2"/>
  <c r="N243" i="2"/>
  <c r="K246" i="2"/>
  <c r="L246" i="2"/>
  <c r="M246" i="2"/>
  <c r="N246" i="2"/>
  <c r="K247" i="2"/>
  <c r="L247" i="2"/>
  <c r="M247" i="2"/>
  <c r="N247" i="2"/>
  <c r="K250" i="2"/>
  <c r="L250" i="2"/>
  <c r="M250" i="2"/>
  <c r="N250" i="2"/>
  <c r="K248" i="2"/>
  <c r="L248" i="2"/>
  <c r="M248" i="2"/>
  <c r="N248" i="2"/>
  <c r="K251" i="2"/>
  <c r="L251" i="2"/>
  <c r="M251" i="2"/>
  <c r="N251" i="2"/>
  <c r="K252" i="2"/>
  <c r="L252" i="2"/>
  <c r="M252" i="2"/>
  <c r="N252" i="2"/>
  <c r="K258" i="2"/>
  <c r="L258" i="2"/>
  <c r="M258" i="2"/>
  <c r="N258" i="2"/>
  <c r="K261" i="2"/>
  <c r="L261" i="2"/>
  <c r="M261" i="2"/>
  <c r="N261" i="2"/>
  <c r="K259" i="2"/>
  <c r="L259" i="2"/>
  <c r="M259" i="2"/>
  <c r="N259" i="2"/>
  <c r="K267" i="2"/>
  <c r="L267" i="2"/>
  <c r="M267" i="2"/>
  <c r="N267" i="2"/>
  <c r="K269" i="2"/>
  <c r="L269" i="2"/>
  <c r="M269" i="2"/>
  <c r="N269" i="2"/>
  <c r="K270" i="2"/>
  <c r="L270" i="2"/>
  <c r="M270" i="2"/>
  <c r="N270" i="2"/>
  <c r="K271" i="2"/>
  <c r="L271" i="2"/>
  <c r="M271" i="2"/>
  <c r="N271" i="2"/>
  <c r="K272" i="2"/>
  <c r="L272" i="2"/>
  <c r="M272" i="2"/>
  <c r="N272" i="2"/>
  <c r="K273" i="2"/>
  <c r="L273" i="2"/>
  <c r="M273" i="2"/>
  <c r="N273" i="2"/>
  <c r="K274" i="2"/>
  <c r="L274" i="2"/>
  <c r="M274" i="2"/>
  <c r="N274" i="2"/>
  <c r="K275" i="2"/>
  <c r="L275" i="2"/>
  <c r="M275" i="2"/>
  <c r="N275" i="2"/>
  <c r="K277" i="2"/>
  <c r="L277" i="2"/>
  <c r="M277" i="2"/>
  <c r="N277" i="2"/>
  <c r="K281" i="2"/>
  <c r="L281" i="2"/>
  <c r="M281" i="2"/>
  <c r="N281" i="2"/>
  <c r="K284" i="2"/>
  <c r="L284" i="2"/>
  <c r="M284" i="2"/>
  <c r="N284" i="2"/>
  <c r="K286" i="2"/>
  <c r="L286" i="2"/>
  <c r="M286" i="2"/>
  <c r="N286" i="2"/>
  <c r="K289" i="2"/>
  <c r="L289" i="2"/>
  <c r="M289" i="2"/>
  <c r="N289" i="2"/>
  <c r="K300" i="2"/>
  <c r="L300" i="2"/>
  <c r="M300" i="2"/>
  <c r="N300" i="2"/>
  <c r="K305" i="2"/>
  <c r="L305" i="2"/>
  <c r="M305" i="2"/>
  <c r="N305" i="2"/>
  <c r="K309" i="2"/>
  <c r="L309" i="2"/>
  <c r="M309" i="2"/>
  <c r="N309" i="2"/>
  <c r="K307" i="2"/>
  <c r="L307" i="2"/>
  <c r="M307" i="2"/>
  <c r="N307" i="2"/>
  <c r="K310" i="2"/>
  <c r="L310" i="2"/>
  <c r="M310" i="2"/>
  <c r="N310" i="2"/>
  <c r="K321" i="2"/>
  <c r="L321" i="2"/>
  <c r="M321" i="2"/>
  <c r="N321" i="2"/>
  <c r="K323" i="2"/>
  <c r="L323" i="2"/>
  <c r="M323" i="2"/>
  <c r="N323" i="2"/>
  <c r="K325" i="2"/>
  <c r="L325" i="2"/>
  <c r="M325" i="2"/>
  <c r="N325" i="2"/>
  <c r="K334" i="2"/>
  <c r="L334" i="2"/>
  <c r="M334" i="2"/>
  <c r="N334" i="2"/>
  <c r="K340" i="2"/>
  <c r="L340" i="2"/>
  <c r="M340" i="2"/>
  <c r="N340" i="2"/>
  <c r="K343" i="2"/>
  <c r="L343" i="2"/>
  <c r="M343" i="2"/>
  <c r="N343" i="2"/>
  <c r="K348" i="2"/>
  <c r="L348" i="2"/>
  <c r="M348" i="2"/>
  <c r="N348" i="2"/>
  <c r="K349" i="2"/>
  <c r="L349" i="2"/>
  <c r="M349" i="2"/>
  <c r="N349" i="2"/>
  <c r="K356" i="2"/>
  <c r="L356" i="2"/>
  <c r="M356" i="2"/>
  <c r="N356" i="2"/>
  <c r="K355" i="2"/>
  <c r="L355" i="2"/>
  <c r="M355" i="2"/>
  <c r="N355" i="2"/>
  <c r="K357" i="2"/>
  <c r="L357" i="2"/>
  <c r="M357" i="2"/>
  <c r="N357" i="2"/>
  <c r="K358" i="2"/>
  <c r="L358" i="2"/>
  <c r="M358" i="2"/>
  <c r="N358" i="2"/>
  <c r="K359" i="2"/>
  <c r="L359" i="2"/>
  <c r="M359" i="2"/>
  <c r="N359" i="2"/>
  <c r="K360" i="2"/>
  <c r="L360" i="2"/>
  <c r="M360" i="2"/>
  <c r="N360" i="2"/>
  <c r="K361" i="2"/>
  <c r="L361" i="2"/>
  <c r="M361" i="2"/>
  <c r="N361" i="2"/>
  <c r="K362" i="2"/>
  <c r="L362" i="2"/>
  <c r="M362" i="2"/>
  <c r="N362" i="2"/>
  <c r="K364" i="2"/>
  <c r="L364" i="2"/>
  <c r="M364" i="2"/>
  <c r="N364" i="2"/>
  <c r="K365" i="2"/>
  <c r="L365" i="2"/>
  <c r="M365" i="2"/>
  <c r="N365" i="2"/>
  <c r="K369" i="2"/>
  <c r="L369" i="2"/>
  <c r="M369" i="2"/>
  <c r="N369" i="2"/>
  <c r="K375" i="2"/>
  <c r="L375" i="2"/>
  <c r="M375" i="2"/>
  <c r="N375" i="2"/>
  <c r="K386" i="2"/>
  <c r="L386" i="2"/>
  <c r="M386" i="2"/>
  <c r="N386" i="2"/>
  <c r="K391" i="2"/>
  <c r="L391" i="2"/>
  <c r="M391" i="2"/>
  <c r="N391" i="2"/>
  <c r="K389" i="2"/>
  <c r="L389" i="2"/>
  <c r="M389" i="2"/>
  <c r="N389" i="2"/>
  <c r="K393" i="2"/>
  <c r="L393" i="2"/>
  <c r="M393" i="2"/>
  <c r="N393" i="2"/>
  <c r="K392" i="2"/>
  <c r="L392" i="2"/>
  <c r="M392" i="2"/>
  <c r="N392" i="2"/>
  <c r="K394" i="2"/>
  <c r="L394" i="2"/>
  <c r="M394" i="2"/>
  <c r="N394" i="2"/>
  <c r="K395" i="2"/>
  <c r="L395" i="2"/>
  <c r="M395" i="2"/>
  <c r="N395" i="2"/>
  <c r="K400" i="2"/>
  <c r="L400" i="2"/>
  <c r="M400" i="2"/>
  <c r="N400" i="2"/>
  <c r="K401" i="2"/>
  <c r="L401" i="2"/>
  <c r="M401" i="2"/>
  <c r="N401" i="2"/>
  <c r="K405" i="2"/>
  <c r="L405" i="2"/>
  <c r="M405" i="2"/>
  <c r="N405" i="2"/>
  <c r="K406" i="2"/>
  <c r="L406" i="2"/>
  <c r="M406" i="2"/>
  <c r="N406" i="2"/>
  <c r="K407" i="2"/>
  <c r="L407" i="2"/>
  <c r="M407" i="2"/>
  <c r="N407" i="2"/>
  <c r="K408" i="2"/>
  <c r="L408" i="2"/>
  <c r="M408" i="2"/>
  <c r="N408" i="2"/>
  <c r="K409" i="2"/>
  <c r="L409" i="2"/>
  <c r="M409" i="2"/>
  <c r="N409" i="2"/>
  <c r="K410" i="2"/>
  <c r="L410" i="2"/>
  <c r="M410" i="2"/>
  <c r="N410" i="2"/>
  <c r="K411" i="2"/>
  <c r="L411" i="2"/>
  <c r="M411" i="2"/>
  <c r="N411" i="2"/>
  <c r="K419" i="2"/>
  <c r="L419" i="2"/>
  <c r="M419" i="2"/>
  <c r="N419" i="2"/>
  <c r="K420" i="2"/>
  <c r="L420" i="2"/>
  <c r="M420" i="2"/>
  <c r="N420" i="2"/>
  <c r="K421" i="2"/>
  <c r="L421" i="2"/>
  <c r="M421" i="2"/>
  <c r="N421" i="2"/>
  <c r="K429" i="2"/>
  <c r="L429" i="2"/>
  <c r="M429" i="2"/>
  <c r="N429" i="2"/>
  <c r="K430" i="2"/>
  <c r="L430" i="2"/>
  <c r="M430" i="2"/>
  <c r="N430" i="2"/>
  <c r="K432" i="2"/>
  <c r="L432" i="2"/>
  <c r="M432" i="2"/>
  <c r="N432" i="2"/>
  <c r="K433" i="2"/>
  <c r="L433" i="2"/>
  <c r="M433" i="2"/>
  <c r="N433" i="2"/>
  <c r="K437" i="2"/>
  <c r="L437" i="2"/>
  <c r="M437" i="2"/>
  <c r="N437" i="2"/>
  <c r="F440" i="2"/>
  <c r="K440" i="2"/>
  <c r="L440" i="2"/>
  <c r="M440" i="2"/>
  <c r="N440" i="2"/>
  <c r="K444" i="2"/>
  <c r="L444" i="2"/>
  <c r="M444" i="2"/>
  <c r="N444" i="2"/>
  <c r="K445" i="2"/>
  <c r="L445" i="2"/>
  <c r="M445" i="2"/>
  <c r="N445" i="2"/>
  <c r="K446" i="2"/>
  <c r="L446" i="2"/>
  <c r="M446" i="2"/>
  <c r="N446" i="2"/>
  <c r="K447" i="2"/>
  <c r="L447" i="2"/>
  <c r="M447" i="2"/>
  <c r="N447" i="2"/>
  <c r="K448" i="2"/>
  <c r="L448" i="2"/>
  <c r="M448" i="2"/>
  <c r="N448" i="2"/>
  <c r="K449" i="2"/>
  <c r="L449" i="2"/>
  <c r="M449" i="2"/>
  <c r="N449" i="2"/>
  <c r="K450" i="2"/>
  <c r="L450" i="2"/>
  <c r="M450" i="2"/>
  <c r="N450" i="2"/>
  <c r="K451" i="2"/>
  <c r="L451" i="2"/>
  <c r="M451" i="2"/>
  <c r="N451" i="2"/>
  <c r="K454" i="2"/>
  <c r="L454" i="2"/>
  <c r="M454" i="2"/>
  <c r="N454" i="2"/>
  <c r="K459" i="2"/>
  <c r="L459" i="2"/>
  <c r="M459" i="2"/>
  <c r="N459" i="2"/>
  <c r="K457" i="2"/>
  <c r="L457" i="2"/>
  <c r="M457" i="2"/>
  <c r="N457" i="2"/>
  <c r="K463" i="2"/>
  <c r="L463" i="2"/>
  <c r="M463" i="2"/>
  <c r="N463" i="2"/>
  <c r="K472" i="2"/>
  <c r="L472" i="2"/>
  <c r="M472" i="2"/>
  <c r="N472" i="2"/>
  <c r="K464" i="2"/>
  <c r="L464" i="2"/>
  <c r="M464" i="2"/>
  <c r="N464" i="2"/>
  <c r="K486" i="2"/>
  <c r="L486" i="2"/>
  <c r="M486" i="2"/>
  <c r="N486" i="2"/>
  <c r="K487" i="2"/>
  <c r="L487" i="2"/>
  <c r="M487" i="2"/>
  <c r="N487" i="2"/>
  <c r="K488" i="2"/>
  <c r="L488" i="2"/>
  <c r="M488" i="2"/>
  <c r="N488" i="2"/>
  <c r="K489" i="2"/>
  <c r="L489" i="2"/>
  <c r="M489" i="2"/>
  <c r="N489" i="2"/>
  <c r="K490" i="2"/>
  <c r="L490" i="2"/>
  <c r="M490" i="2"/>
  <c r="N490" i="2"/>
  <c r="K491" i="2"/>
  <c r="L491" i="2"/>
  <c r="M491" i="2"/>
  <c r="N491" i="2"/>
  <c r="K508" i="2"/>
  <c r="L508" i="2"/>
  <c r="M508" i="2"/>
  <c r="N508" i="2"/>
  <c r="K504" i="2"/>
  <c r="L504" i="2"/>
  <c r="M504" i="2"/>
  <c r="N504" i="2"/>
  <c r="K509" i="2"/>
  <c r="L509" i="2"/>
  <c r="M509" i="2"/>
  <c r="N509" i="2"/>
  <c r="K520" i="2"/>
  <c r="L520" i="2"/>
  <c r="M520" i="2"/>
  <c r="N520" i="2"/>
  <c r="K519" i="2"/>
  <c r="L519" i="2"/>
  <c r="M519" i="2"/>
  <c r="N519" i="2"/>
  <c r="K523" i="2"/>
  <c r="L523" i="2"/>
  <c r="M523" i="2"/>
  <c r="N523" i="2"/>
  <c r="K534" i="2"/>
  <c r="L534" i="2"/>
  <c r="M534" i="2"/>
  <c r="N534" i="2"/>
  <c r="K537" i="2"/>
  <c r="L537" i="2"/>
  <c r="M537" i="2"/>
  <c r="N537" i="2"/>
  <c r="K538" i="2"/>
  <c r="L538" i="2"/>
  <c r="M538" i="2"/>
  <c r="N538" i="2"/>
  <c r="K539" i="2"/>
  <c r="L539" i="2"/>
  <c r="M539" i="2"/>
  <c r="N539" i="2"/>
  <c r="K542" i="2"/>
  <c r="L542" i="2"/>
  <c r="M542" i="2"/>
  <c r="N542" i="2"/>
  <c r="K543" i="2"/>
  <c r="L543" i="2"/>
  <c r="M543" i="2"/>
  <c r="N543" i="2"/>
  <c r="K546" i="2"/>
  <c r="L546" i="2"/>
  <c r="M546" i="2"/>
  <c r="N546" i="2"/>
  <c r="K549" i="2"/>
  <c r="L549" i="2"/>
  <c r="M549" i="2"/>
  <c r="N549" i="2"/>
  <c r="K552" i="2"/>
  <c r="L552" i="2"/>
  <c r="M552" i="2"/>
  <c r="N552" i="2"/>
  <c r="K553" i="2"/>
  <c r="L553" i="2"/>
  <c r="M553" i="2"/>
  <c r="N553" i="2"/>
  <c r="K564" i="2"/>
  <c r="L564" i="2"/>
  <c r="M564" i="2"/>
  <c r="N564" i="2"/>
  <c r="K563" i="2"/>
  <c r="L563" i="2"/>
  <c r="M563" i="2"/>
  <c r="N563" i="2"/>
  <c r="K587" i="2"/>
  <c r="L587" i="2"/>
  <c r="M587" i="2"/>
  <c r="N587" i="2"/>
  <c r="K588" i="2"/>
  <c r="L588" i="2"/>
  <c r="M588" i="2"/>
  <c r="N588" i="2"/>
  <c r="K596" i="2"/>
  <c r="L596" i="2"/>
  <c r="M596" i="2"/>
  <c r="N596" i="2"/>
  <c r="K597" i="2"/>
  <c r="L597" i="2"/>
  <c r="M597" i="2"/>
  <c r="N597" i="2"/>
  <c r="K598" i="2"/>
  <c r="L598" i="2"/>
  <c r="M598" i="2"/>
  <c r="N598" i="2"/>
  <c r="K599" i="2"/>
  <c r="L599" i="2"/>
  <c r="M599" i="2"/>
  <c r="N599" i="2"/>
  <c r="K600" i="2"/>
  <c r="L600" i="2"/>
  <c r="M600" i="2"/>
  <c r="N600" i="2"/>
  <c r="K601" i="2"/>
  <c r="L601" i="2"/>
  <c r="M601" i="2"/>
  <c r="N601" i="2"/>
  <c r="K602" i="2"/>
  <c r="L602" i="2"/>
  <c r="M602" i="2"/>
  <c r="N602" i="2"/>
  <c r="K603" i="2"/>
  <c r="L603" i="2"/>
  <c r="M603" i="2"/>
  <c r="N603" i="2"/>
  <c r="K605" i="2"/>
  <c r="L605" i="2"/>
  <c r="M605" i="2"/>
  <c r="N605" i="2"/>
  <c r="K610" i="2"/>
  <c r="L610" i="2"/>
  <c r="M610" i="2"/>
  <c r="N610" i="2"/>
  <c r="K611" i="2"/>
  <c r="L611" i="2"/>
  <c r="M611" i="2"/>
  <c r="N611" i="2"/>
  <c r="D608" i="2"/>
  <c r="K608" i="2"/>
  <c r="L608" i="2"/>
  <c r="M608" i="2"/>
  <c r="N608" i="2"/>
  <c r="K613" i="2"/>
  <c r="L613" i="2"/>
  <c r="M613" i="2"/>
  <c r="N613" i="2"/>
  <c r="K615" i="2"/>
  <c r="L615" i="2"/>
  <c r="M615" i="2"/>
  <c r="N615" i="2"/>
  <c r="K614" i="2"/>
  <c r="L614" i="2"/>
  <c r="M614" i="2"/>
  <c r="N614" i="2"/>
  <c r="K624" i="2"/>
  <c r="L624" i="2"/>
  <c r="M624" i="2"/>
  <c r="N624" i="2"/>
  <c r="K618" i="2"/>
  <c r="L618" i="2"/>
  <c r="M618" i="2"/>
  <c r="N618" i="2"/>
  <c r="K619" i="2"/>
  <c r="L619" i="2"/>
  <c r="M619" i="2"/>
  <c r="N619" i="2"/>
  <c r="K620" i="2"/>
  <c r="L620" i="2"/>
  <c r="M620" i="2"/>
  <c r="N620" i="2"/>
  <c r="K634" i="2"/>
  <c r="L634" i="2"/>
  <c r="M634" i="2"/>
  <c r="N634" i="2"/>
  <c r="K630" i="2"/>
  <c r="L630" i="2"/>
  <c r="M630" i="2"/>
  <c r="N630" i="2"/>
  <c r="K631" i="2"/>
  <c r="L631" i="2"/>
  <c r="M631" i="2"/>
  <c r="N631" i="2"/>
  <c r="K632" i="2"/>
  <c r="L632" i="2"/>
  <c r="M632" i="2"/>
  <c r="N632" i="2"/>
  <c r="K636" i="2"/>
  <c r="L636" i="2"/>
  <c r="M636" i="2"/>
  <c r="N636" i="2"/>
  <c r="K641" i="2"/>
  <c r="L641" i="2"/>
  <c r="M641" i="2"/>
  <c r="N641" i="2"/>
  <c r="K638" i="2"/>
  <c r="L638" i="2"/>
  <c r="M638" i="2"/>
  <c r="N638" i="2"/>
  <c r="K644" i="2"/>
  <c r="L644" i="2"/>
  <c r="M644" i="2"/>
  <c r="N644" i="2"/>
  <c r="K645" i="2"/>
  <c r="L645" i="2"/>
  <c r="M645" i="2"/>
  <c r="N645" i="2"/>
  <c r="K649" i="2"/>
  <c r="L649" i="2"/>
  <c r="M649" i="2"/>
  <c r="N649" i="2"/>
  <c r="K647" i="2"/>
  <c r="L647" i="2"/>
  <c r="M647" i="2"/>
  <c r="N647" i="2"/>
  <c r="K657" i="2"/>
  <c r="L657" i="2"/>
  <c r="M657" i="2"/>
  <c r="N657" i="2"/>
  <c r="K654" i="2"/>
  <c r="L654" i="2"/>
  <c r="M654" i="2"/>
  <c r="N654" i="2"/>
  <c r="K655" i="2"/>
  <c r="L655" i="2"/>
  <c r="M655" i="2"/>
  <c r="N655" i="2"/>
  <c r="K658" i="2"/>
  <c r="L658" i="2"/>
  <c r="M658" i="2"/>
  <c r="N658" i="2"/>
  <c r="K660" i="2"/>
  <c r="L660" i="2"/>
  <c r="M660" i="2"/>
  <c r="N660" i="2"/>
  <c r="K663" i="2"/>
  <c r="L663" i="2"/>
  <c r="M663" i="2"/>
  <c r="N663" i="2"/>
  <c r="K664" i="2"/>
  <c r="L664" i="2"/>
  <c r="M664" i="2"/>
  <c r="N664" i="2"/>
  <c r="K673" i="2"/>
  <c r="L673" i="2"/>
  <c r="M673" i="2"/>
  <c r="N673" i="2"/>
  <c r="K670" i="2"/>
  <c r="L670" i="2"/>
  <c r="M670" i="2"/>
  <c r="N670" i="2"/>
  <c r="K671" i="2"/>
  <c r="L671" i="2"/>
  <c r="M671" i="2"/>
  <c r="N671" i="2"/>
  <c r="K672" i="2"/>
  <c r="L672" i="2"/>
  <c r="M672" i="2"/>
  <c r="N672" i="2"/>
  <c r="K678" i="2"/>
  <c r="L678" i="2"/>
  <c r="M678" i="2"/>
  <c r="N678" i="2"/>
  <c r="K682" i="2"/>
  <c r="L682" i="2"/>
  <c r="M682" i="2"/>
  <c r="N682" i="2"/>
  <c r="K687" i="2"/>
  <c r="L687" i="2"/>
  <c r="M687" i="2"/>
  <c r="N687" i="2"/>
  <c r="K696" i="2"/>
  <c r="L696" i="2"/>
  <c r="M696" i="2"/>
  <c r="N696" i="2"/>
  <c r="K697" i="2"/>
  <c r="L697" i="2"/>
  <c r="M697" i="2"/>
  <c r="N697" i="2"/>
  <c r="K753" i="2"/>
  <c r="L753" i="2"/>
  <c r="M753" i="2"/>
  <c r="N753" i="2"/>
  <c r="K754" i="2"/>
  <c r="L754" i="2"/>
  <c r="M754" i="2"/>
  <c r="N754" i="2"/>
  <c r="K755" i="2"/>
  <c r="L755" i="2"/>
  <c r="M755" i="2"/>
  <c r="N755" i="2"/>
  <c r="K756" i="2"/>
  <c r="L756" i="2"/>
  <c r="M756" i="2"/>
  <c r="N756" i="2"/>
  <c r="K757" i="2"/>
  <c r="L757" i="2"/>
  <c r="M757" i="2"/>
  <c r="N757" i="2"/>
  <c r="K768" i="2"/>
  <c r="L768" i="2"/>
  <c r="M768" i="2"/>
  <c r="N768" i="2"/>
  <c r="K825" i="2"/>
  <c r="L825" i="2"/>
  <c r="M825" i="2"/>
  <c r="N825" i="2"/>
  <c r="K824" i="2"/>
  <c r="L824" i="2"/>
  <c r="M824" i="2"/>
  <c r="N824" i="2"/>
  <c r="K828" i="2"/>
  <c r="L828" i="2"/>
  <c r="M828" i="2"/>
  <c r="N828" i="2"/>
  <c r="K831" i="2"/>
  <c r="L831" i="2"/>
  <c r="M831" i="2"/>
  <c r="N831" i="2"/>
  <c r="K832" i="2"/>
  <c r="L832" i="2"/>
  <c r="M832" i="2"/>
  <c r="N832" i="2"/>
  <c r="K839" i="2"/>
  <c r="L839" i="2"/>
  <c r="M839" i="2"/>
  <c r="N839" i="2"/>
  <c r="K844" i="2"/>
  <c r="L844" i="2"/>
  <c r="M844" i="2"/>
  <c r="N844" i="2"/>
  <c r="K845" i="2"/>
  <c r="L845" i="2"/>
  <c r="M845" i="2"/>
  <c r="N845" i="2"/>
  <c r="K851" i="2"/>
  <c r="L851" i="2"/>
  <c r="M851" i="2"/>
  <c r="N851" i="2"/>
  <c r="K852" i="2"/>
  <c r="L852" i="2"/>
  <c r="M852" i="2"/>
  <c r="N852" i="2"/>
  <c r="K855" i="2"/>
  <c r="L855" i="2"/>
  <c r="M855" i="2"/>
  <c r="N855" i="2"/>
  <c r="K857" i="2"/>
  <c r="L857" i="2"/>
  <c r="M857" i="2"/>
  <c r="N857" i="2"/>
  <c r="K861" i="2"/>
  <c r="L861" i="2"/>
  <c r="M861" i="2"/>
  <c r="N861" i="2"/>
  <c r="K863" i="2"/>
  <c r="L863" i="2"/>
  <c r="M863" i="2"/>
  <c r="N863" i="2"/>
  <c r="K864" i="2"/>
  <c r="L864" i="2"/>
  <c r="M864" i="2"/>
  <c r="N864" i="2"/>
  <c r="K867" i="2"/>
  <c r="L867" i="2"/>
  <c r="M867" i="2"/>
  <c r="N867" i="2"/>
  <c r="K873" i="2"/>
  <c r="L873" i="2"/>
  <c r="M873" i="2"/>
  <c r="N873" i="2"/>
  <c r="K874" i="2"/>
  <c r="L874" i="2"/>
  <c r="M874" i="2"/>
  <c r="N874" i="2"/>
  <c r="K875" i="2"/>
  <c r="L875" i="2"/>
  <c r="M875" i="2"/>
  <c r="N875" i="2"/>
  <c r="K869" i="2"/>
  <c r="L869" i="2"/>
  <c r="M869" i="2"/>
  <c r="N869" i="2"/>
  <c r="K870" i="2"/>
  <c r="L870" i="2"/>
  <c r="M870" i="2"/>
  <c r="N870" i="2"/>
  <c r="K871" i="2"/>
  <c r="L871" i="2"/>
  <c r="M871" i="2"/>
  <c r="N871" i="2"/>
  <c r="K876" i="2"/>
  <c r="L876" i="2"/>
  <c r="M876" i="2"/>
  <c r="N876" i="2"/>
  <c r="K887" i="2"/>
  <c r="L887" i="2"/>
  <c r="M887" i="2"/>
  <c r="N887" i="2"/>
  <c r="K883" i="2"/>
  <c r="L883" i="2"/>
  <c r="M883" i="2"/>
  <c r="N883" i="2"/>
  <c r="K884" i="2"/>
  <c r="L884" i="2"/>
  <c r="M884" i="2"/>
  <c r="N884" i="2"/>
  <c r="K885" i="2"/>
  <c r="L885" i="2"/>
  <c r="M885" i="2"/>
  <c r="N885" i="2"/>
  <c r="K886" i="2"/>
  <c r="L886" i="2"/>
  <c r="M886" i="2"/>
  <c r="N886" i="2"/>
  <c r="K894" i="2"/>
  <c r="L894" i="2"/>
  <c r="M894" i="2"/>
  <c r="N894" i="2"/>
  <c r="K892" i="2"/>
  <c r="L892" i="2"/>
  <c r="M892" i="2"/>
  <c r="N892" i="2"/>
  <c r="K893" i="2"/>
  <c r="L893" i="2"/>
  <c r="M893" i="2"/>
  <c r="N893" i="2"/>
  <c r="K896" i="2"/>
  <c r="L896" i="2"/>
  <c r="M896" i="2"/>
  <c r="N896" i="2"/>
  <c r="K897" i="2"/>
  <c r="L897" i="2"/>
  <c r="M897" i="2"/>
  <c r="N897" i="2"/>
  <c r="K907" i="2"/>
  <c r="L907" i="2"/>
  <c r="M907" i="2"/>
  <c r="N907" i="2"/>
  <c r="K908" i="2"/>
  <c r="L908" i="2"/>
  <c r="M908" i="2"/>
  <c r="N908" i="2"/>
  <c r="K902" i="2"/>
  <c r="L902" i="2"/>
  <c r="M902" i="2"/>
  <c r="N902" i="2"/>
  <c r="K910" i="2"/>
  <c r="L910" i="2"/>
  <c r="M910" i="2"/>
  <c r="N910" i="2"/>
  <c r="K911" i="2"/>
  <c r="L911" i="2"/>
  <c r="M911" i="2"/>
  <c r="N911" i="2"/>
  <c r="K923" i="2"/>
  <c r="L923" i="2"/>
  <c r="M923" i="2"/>
  <c r="N923" i="2"/>
  <c r="K922" i="2"/>
  <c r="L922" i="2"/>
  <c r="M922" i="2"/>
  <c r="N922" i="2"/>
  <c r="K924" i="2"/>
  <c r="L924" i="2"/>
  <c r="M924" i="2"/>
  <c r="N924" i="2"/>
  <c r="K925" i="2"/>
  <c r="L925" i="2"/>
  <c r="M925" i="2"/>
  <c r="N925" i="2"/>
  <c r="K926" i="2"/>
  <c r="L926" i="2"/>
  <c r="M926" i="2"/>
  <c r="N926" i="2"/>
  <c r="K927" i="2"/>
  <c r="L927" i="2"/>
  <c r="M927" i="2"/>
  <c r="N927" i="2"/>
  <c r="K929" i="2"/>
  <c r="L929" i="2"/>
  <c r="M929" i="2"/>
  <c r="N929" i="2"/>
  <c r="K934" i="2"/>
  <c r="L934" i="2"/>
  <c r="M934" i="2"/>
  <c r="N934" i="2"/>
  <c r="K937" i="2"/>
  <c r="L937" i="2"/>
  <c r="M937" i="2"/>
  <c r="N937" i="2"/>
  <c r="K938" i="2"/>
  <c r="L938" i="2"/>
  <c r="M938" i="2"/>
  <c r="N938" i="2"/>
  <c r="K949" i="2"/>
  <c r="L949" i="2"/>
  <c r="M949" i="2"/>
  <c r="N949" i="2"/>
  <c r="K950" i="2"/>
  <c r="L950" i="2"/>
  <c r="M950" i="2"/>
  <c r="N950" i="2"/>
  <c r="K951" i="2"/>
  <c r="L951" i="2"/>
  <c r="M951" i="2"/>
  <c r="N951" i="2"/>
  <c r="K952" i="2"/>
  <c r="L952" i="2"/>
  <c r="M952" i="2"/>
  <c r="N952" i="2"/>
  <c r="K953" i="2"/>
  <c r="L953" i="2"/>
  <c r="M953" i="2"/>
  <c r="N953" i="2"/>
  <c r="K954" i="2"/>
  <c r="L954" i="2"/>
  <c r="M954" i="2"/>
  <c r="N954" i="2"/>
  <c r="K955" i="2"/>
  <c r="L955" i="2"/>
  <c r="M955" i="2"/>
  <c r="N955" i="2"/>
  <c r="K957" i="2"/>
  <c r="L957" i="2"/>
  <c r="M957" i="2"/>
  <c r="N957" i="2"/>
  <c r="K956" i="2"/>
  <c r="L956" i="2"/>
  <c r="M956" i="2"/>
  <c r="N956" i="2"/>
  <c r="K961" i="2"/>
  <c r="L961" i="2"/>
  <c r="M961" i="2"/>
  <c r="N961" i="2"/>
  <c r="K962" i="2"/>
  <c r="L962" i="2"/>
  <c r="M962" i="2"/>
  <c r="N962" i="2"/>
  <c r="K963" i="2"/>
  <c r="L963" i="2"/>
  <c r="M963" i="2"/>
  <c r="N963" i="2"/>
  <c r="K964" i="2"/>
  <c r="L964" i="2"/>
  <c r="M964" i="2"/>
  <c r="N964" i="2"/>
  <c r="K965" i="2"/>
  <c r="L965" i="2"/>
  <c r="M965" i="2"/>
  <c r="N965" i="2"/>
  <c r="K966" i="2"/>
  <c r="L966" i="2"/>
  <c r="M966" i="2"/>
  <c r="N966" i="2"/>
  <c r="K973" i="2"/>
  <c r="L973" i="2"/>
  <c r="M973" i="2"/>
  <c r="N973" i="2"/>
  <c r="K974" i="2"/>
  <c r="L974" i="2"/>
  <c r="M974" i="2"/>
  <c r="N974" i="2"/>
  <c r="K975" i="2"/>
  <c r="L975" i="2"/>
  <c r="M975" i="2"/>
  <c r="N975" i="2"/>
  <c r="K976" i="2"/>
  <c r="L976" i="2"/>
  <c r="M976" i="2"/>
  <c r="N976" i="2"/>
  <c r="K977" i="2"/>
  <c r="L977" i="2"/>
  <c r="M977" i="2"/>
  <c r="N977" i="2"/>
  <c r="K978" i="2"/>
  <c r="L978" i="2"/>
  <c r="M978" i="2"/>
  <c r="N978" i="2"/>
  <c r="K979" i="2"/>
  <c r="L979" i="2"/>
  <c r="M979" i="2"/>
  <c r="N979" i="2"/>
  <c r="K986" i="2"/>
  <c r="L986" i="2"/>
  <c r="M986" i="2"/>
  <c r="N986" i="2"/>
  <c r="K983" i="2"/>
  <c r="L983" i="2"/>
  <c r="M983" i="2"/>
  <c r="N983" i="2"/>
  <c r="K987" i="2"/>
  <c r="L987" i="2"/>
  <c r="M987" i="2"/>
  <c r="N987" i="2"/>
  <c r="K989" i="2"/>
  <c r="L989" i="2"/>
  <c r="M989" i="2"/>
  <c r="N989" i="2"/>
  <c r="K990" i="2"/>
  <c r="L990" i="2"/>
  <c r="M990" i="2"/>
  <c r="N990" i="2"/>
  <c r="K992" i="2"/>
  <c r="L992" i="2"/>
  <c r="M992" i="2"/>
  <c r="N992" i="2"/>
  <c r="K1013" i="2"/>
  <c r="L1013" i="2"/>
  <c r="M1013" i="2"/>
  <c r="N1013" i="2"/>
  <c r="K1010" i="2"/>
  <c r="L1010" i="2"/>
  <c r="M1010" i="2"/>
  <c r="N1010" i="2"/>
  <c r="K1009" i="2"/>
  <c r="L1009" i="2"/>
  <c r="M1009" i="2"/>
  <c r="N1009" i="2"/>
  <c r="K1016" i="2"/>
  <c r="L1016" i="2"/>
  <c r="M1016" i="2"/>
  <c r="N1016" i="2"/>
  <c r="K1021" i="2"/>
  <c r="L1021" i="2"/>
  <c r="M1021" i="2"/>
  <c r="N1021" i="2"/>
  <c r="K1027" i="2"/>
  <c r="L1027" i="2"/>
  <c r="M1027" i="2"/>
  <c r="N1027" i="2"/>
  <c r="K1023" i="2"/>
  <c r="L1023" i="2"/>
  <c r="M1023" i="2"/>
  <c r="N1023" i="2"/>
  <c r="K1024" i="2"/>
  <c r="L1024" i="2"/>
  <c r="M1024" i="2"/>
  <c r="N1024" i="2"/>
  <c r="K1028" i="2"/>
  <c r="L1028" i="2"/>
  <c r="M1028" i="2"/>
  <c r="N1028" i="2"/>
  <c r="K1029" i="2"/>
  <c r="L1029" i="2"/>
  <c r="M1029" i="2"/>
  <c r="N1029" i="2"/>
  <c r="K1033" i="2"/>
  <c r="L1033" i="2"/>
  <c r="M1033" i="2"/>
  <c r="N1033" i="2"/>
  <c r="K1041" i="2"/>
  <c r="L1041" i="2"/>
  <c r="M1041" i="2"/>
  <c r="N1041" i="2"/>
  <c r="K1040" i="2"/>
  <c r="L1040" i="2"/>
  <c r="M1040" i="2"/>
  <c r="N1040" i="2"/>
  <c r="K1043" i="2"/>
  <c r="L1043" i="2"/>
  <c r="M1043" i="2"/>
  <c r="N1043" i="2"/>
  <c r="K1046" i="2"/>
  <c r="L1046" i="2"/>
  <c r="M1046" i="2"/>
  <c r="N1046" i="2"/>
  <c r="K1047" i="2"/>
  <c r="L1047" i="2"/>
  <c r="M1047" i="2"/>
  <c r="N1047" i="2"/>
  <c r="K1048" i="2"/>
  <c r="L1048" i="2"/>
  <c r="M1048" i="2"/>
  <c r="N1048" i="2"/>
  <c r="K1049" i="2"/>
  <c r="L1049" i="2"/>
  <c r="M1049" i="2"/>
  <c r="N1049" i="2"/>
  <c r="K1050" i="2"/>
  <c r="L1050" i="2"/>
  <c r="M1050" i="2"/>
  <c r="N1050" i="2"/>
  <c r="K1051" i="2"/>
  <c r="L1051" i="2"/>
  <c r="M1051" i="2"/>
  <c r="N1051" i="2"/>
  <c r="K1052" i="2"/>
  <c r="L1052" i="2"/>
  <c r="M1052" i="2"/>
  <c r="N1052" i="2"/>
  <c r="K1053" i="2"/>
  <c r="L1053" i="2"/>
  <c r="M1053" i="2"/>
  <c r="N1053" i="2"/>
  <c r="K1054" i="2"/>
  <c r="L1054" i="2"/>
  <c r="M1054" i="2"/>
  <c r="N1054" i="2"/>
  <c r="K1056" i="2"/>
  <c r="L1056" i="2"/>
  <c r="M1056" i="2"/>
  <c r="N1056" i="2"/>
  <c r="K1057" i="2"/>
  <c r="L1057" i="2"/>
  <c r="M1057" i="2"/>
  <c r="N1057" i="2"/>
  <c r="K1058" i="2"/>
  <c r="L1058" i="2"/>
  <c r="M1058" i="2"/>
  <c r="N1058" i="2"/>
  <c r="K1060" i="2"/>
  <c r="L1060" i="2"/>
  <c r="M1060" i="2"/>
  <c r="N1060" i="2"/>
  <c r="K1062" i="2"/>
  <c r="L1062" i="2"/>
  <c r="M1062" i="2"/>
  <c r="N1062" i="2"/>
  <c r="K1069" i="2"/>
  <c r="L1069" i="2"/>
  <c r="M1069" i="2"/>
  <c r="N1069" i="2"/>
  <c r="K1066" i="2"/>
  <c r="L1066" i="2"/>
  <c r="M1066" i="2"/>
  <c r="N1066" i="2"/>
  <c r="K1070" i="2"/>
  <c r="L1070" i="2"/>
  <c r="M1070" i="2"/>
  <c r="N1070" i="2"/>
  <c r="K1074" i="2"/>
  <c r="L1074" i="2"/>
  <c r="M1074" i="2"/>
  <c r="N1074" i="2"/>
  <c r="K1089" i="2"/>
  <c r="L1089" i="2"/>
  <c r="M1089" i="2"/>
  <c r="N1089" i="2"/>
  <c r="K1090" i="2"/>
  <c r="L1090" i="2"/>
  <c r="M1090" i="2"/>
  <c r="N1090" i="2"/>
  <c r="K1096" i="2"/>
  <c r="L1096" i="2"/>
  <c r="M1096" i="2"/>
  <c r="N1096" i="2"/>
  <c r="K1095" i="2"/>
  <c r="L1095" i="2"/>
  <c r="M1095" i="2"/>
  <c r="N1095" i="2"/>
  <c r="K1099" i="2"/>
  <c r="L1099" i="2"/>
  <c r="M1099" i="2"/>
  <c r="N1099" i="2"/>
  <c r="K1104" i="2"/>
  <c r="L1104" i="2"/>
  <c r="M1104" i="2"/>
  <c r="N1104" i="2"/>
  <c r="K1105" i="2"/>
  <c r="L1105" i="2"/>
  <c r="M1105" i="2"/>
  <c r="N1105" i="2"/>
  <c r="K1106" i="2"/>
  <c r="L1106" i="2"/>
  <c r="M1106" i="2"/>
  <c r="N1106" i="2"/>
  <c r="K1107" i="2"/>
  <c r="L1107" i="2"/>
  <c r="M1107" i="2"/>
  <c r="N1107" i="2"/>
  <c r="K1108" i="2"/>
  <c r="L1108" i="2"/>
  <c r="M1108" i="2"/>
  <c r="N1108" i="2"/>
  <c r="K1109" i="2"/>
  <c r="L1109" i="2"/>
  <c r="M1109" i="2"/>
  <c r="N1109" i="2"/>
  <c r="K1110" i="2"/>
  <c r="L1110" i="2"/>
  <c r="M1110" i="2"/>
  <c r="N1110" i="2"/>
  <c r="K1113" i="2"/>
  <c r="L1113" i="2"/>
  <c r="M1113" i="2"/>
  <c r="N1113" i="2"/>
  <c r="K1114" i="2"/>
  <c r="L1114" i="2"/>
  <c r="M1114" i="2"/>
  <c r="N1114" i="2"/>
  <c r="K1117" i="2"/>
  <c r="L1117" i="2"/>
  <c r="M1117" i="2"/>
  <c r="N1117" i="2"/>
  <c r="K1116" i="2"/>
  <c r="L1116" i="2"/>
  <c r="M1116" i="2"/>
  <c r="N1116" i="2"/>
  <c r="K1223" i="2"/>
  <c r="L1223" i="2"/>
  <c r="M1223" i="2"/>
  <c r="N1223" i="2"/>
  <c r="K1274" i="2"/>
  <c r="L1274" i="2"/>
  <c r="M1274" i="2"/>
  <c r="N1274" i="2"/>
  <c r="K1276" i="2"/>
  <c r="L1276" i="2"/>
  <c r="M1276" i="2"/>
  <c r="N1276" i="2"/>
  <c r="K1277" i="2"/>
  <c r="L1277" i="2"/>
  <c r="M1277" i="2"/>
  <c r="N1277" i="2"/>
  <c r="K1282" i="2"/>
  <c r="L1282" i="2"/>
  <c r="M1282" i="2"/>
  <c r="N1282" i="2"/>
  <c r="K1287" i="2"/>
  <c r="L1287" i="2"/>
  <c r="M1287" i="2"/>
  <c r="N1287" i="2"/>
  <c r="K1288" i="2"/>
  <c r="L1288" i="2"/>
  <c r="M1288" i="2"/>
  <c r="N1288" i="2"/>
  <c r="K1297" i="2"/>
  <c r="L1297" i="2"/>
  <c r="M1297" i="2"/>
  <c r="N1297" i="2"/>
  <c r="K1298" i="2"/>
  <c r="L1298" i="2"/>
  <c r="M1298" i="2"/>
  <c r="N1298" i="2"/>
  <c r="K1299" i="2"/>
  <c r="L1299" i="2"/>
  <c r="M1299" i="2"/>
  <c r="N1299" i="2"/>
  <c r="K1300" i="2"/>
  <c r="L1300" i="2"/>
  <c r="M1300" i="2"/>
  <c r="N1300" i="2"/>
  <c r="K1301" i="2"/>
  <c r="L1301" i="2"/>
  <c r="M1301" i="2"/>
  <c r="N1301" i="2"/>
  <c r="K1302" i="2"/>
  <c r="L1302" i="2"/>
  <c r="M1302" i="2"/>
  <c r="N1302" i="2"/>
  <c r="K1307" i="2"/>
  <c r="L1307" i="2"/>
  <c r="M1307" i="2"/>
  <c r="N1307" i="2"/>
  <c r="K1309" i="2"/>
  <c r="L1309" i="2"/>
  <c r="M1309" i="2"/>
  <c r="N1309" i="2"/>
  <c r="K1308" i="2"/>
  <c r="L1308" i="2"/>
  <c r="M1308" i="2"/>
  <c r="N1308" i="2"/>
  <c r="K1313" i="2"/>
  <c r="L1313" i="2"/>
  <c r="M1313" i="2"/>
  <c r="N1313" i="2"/>
  <c r="K1319" i="2"/>
  <c r="L1319" i="2"/>
  <c r="M1319" i="2"/>
  <c r="N1319" i="2"/>
  <c r="K1323" i="2"/>
  <c r="L1323" i="2"/>
  <c r="M1323" i="2"/>
  <c r="N1323" i="2"/>
  <c r="K1324" i="2"/>
  <c r="L1324" i="2"/>
  <c r="M1324" i="2"/>
  <c r="N1324" i="2"/>
  <c r="K1327" i="2"/>
  <c r="L1327" i="2"/>
  <c r="M1327" i="2"/>
  <c r="N1327" i="2"/>
  <c r="K1328" i="2"/>
  <c r="L1328" i="2"/>
  <c r="M1328" i="2"/>
  <c r="N1328" i="2"/>
  <c r="K1329" i="2"/>
  <c r="L1329" i="2"/>
  <c r="M1329" i="2"/>
  <c r="N1329" i="2"/>
  <c r="K1330" i="2"/>
  <c r="L1330" i="2"/>
  <c r="M1330" i="2"/>
  <c r="N1330" i="2"/>
  <c r="K1333" i="2"/>
  <c r="L1333" i="2"/>
  <c r="M1333" i="2"/>
  <c r="N1333" i="2"/>
  <c r="K1338" i="2"/>
  <c r="L1338" i="2"/>
  <c r="M1338" i="2"/>
  <c r="N1338" i="2"/>
  <c r="K1339" i="2"/>
  <c r="L1339" i="2"/>
  <c r="M1339" i="2"/>
  <c r="N1339" i="2"/>
  <c r="K1340" i="2"/>
  <c r="L1340" i="2"/>
  <c r="M1340" i="2"/>
  <c r="N1340" i="2"/>
  <c r="K1341" i="2"/>
  <c r="L1341" i="2"/>
  <c r="M1341" i="2"/>
  <c r="N1341" i="2"/>
  <c r="K1342" i="2"/>
  <c r="L1342" i="2"/>
  <c r="M1342" i="2"/>
  <c r="N1342" i="2"/>
  <c r="K1343" i="2"/>
  <c r="L1343" i="2"/>
  <c r="M1343" i="2"/>
  <c r="N1343" i="2"/>
  <c r="K1345" i="2"/>
  <c r="L1345" i="2"/>
  <c r="M1345" i="2"/>
  <c r="N1345" i="2"/>
  <c r="K1358" i="2"/>
  <c r="L1358" i="2"/>
  <c r="M1358" i="2"/>
  <c r="N1358" i="2"/>
  <c r="K1354" i="2"/>
  <c r="L1354" i="2"/>
  <c r="M1354" i="2"/>
  <c r="N1354" i="2"/>
  <c r="K1355" i="2"/>
  <c r="L1355" i="2"/>
  <c r="M1355" i="2"/>
  <c r="N1355" i="2"/>
  <c r="K1356" i="2"/>
  <c r="L1356" i="2"/>
  <c r="M1356" i="2"/>
  <c r="N1356" i="2"/>
  <c r="K1357" i="2"/>
  <c r="L1357" i="2"/>
  <c r="M1357" i="2"/>
  <c r="N1357" i="2"/>
  <c r="K1359" i="2"/>
  <c r="L1359" i="2"/>
  <c r="M1359" i="2"/>
  <c r="N1359" i="2"/>
  <c r="K1368" i="2"/>
  <c r="L1368" i="2"/>
  <c r="M1368" i="2"/>
  <c r="N1368" i="2"/>
  <c r="K1376" i="2"/>
  <c r="L1376" i="2"/>
  <c r="M1376" i="2"/>
  <c r="N1376" i="2"/>
  <c r="K1380" i="2"/>
  <c r="L1380" i="2"/>
  <c r="M1380" i="2"/>
  <c r="N1380" i="2"/>
  <c r="K1379" i="2"/>
  <c r="L1379" i="2"/>
  <c r="M1379" i="2"/>
  <c r="N1379" i="2"/>
  <c r="K1386" i="2"/>
  <c r="L1386" i="2"/>
  <c r="M1386" i="2"/>
  <c r="N1386" i="2"/>
  <c r="K1387" i="2"/>
  <c r="L1387" i="2"/>
  <c r="M1387" i="2"/>
  <c r="N1387" i="2"/>
  <c r="K1388" i="2"/>
  <c r="L1388" i="2"/>
  <c r="M1388" i="2"/>
  <c r="N1388" i="2"/>
  <c r="K1394" i="2"/>
  <c r="L1394" i="2"/>
  <c r="M1394" i="2"/>
  <c r="N1394" i="2"/>
  <c r="K1395" i="2"/>
  <c r="L1395" i="2"/>
  <c r="M1395" i="2"/>
  <c r="N1395" i="2"/>
  <c r="K1396" i="2"/>
  <c r="L1396" i="2"/>
  <c r="M1396" i="2"/>
  <c r="N1396" i="2"/>
  <c r="K1397" i="2"/>
  <c r="L1397" i="2"/>
  <c r="M1397" i="2"/>
  <c r="N1397" i="2"/>
  <c r="K1389" i="2"/>
  <c r="L1389" i="2"/>
  <c r="M1389" i="2"/>
  <c r="N1389" i="2"/>
  <c r="K1390" i="2"/>
  <c r="L1390" i="2"/>
  <c r="M1390" i="2"/>
  <c r="N1390" i="2"/>
  <c r="K1391" i="2"/>
  <c r="L1391" i="2"/>
  <c r="M1391" i="2"/>
  <c r="N1391" i="2"/>
  <c r="K1392" i="2"/>
  <c r="L1392" i="2"/>
  <c r="M1392" i="2"/>
  <c r="N1392" i="2"/>
  <c r="K1398" i="2"/>
  <c r="L1398" i="2"/>
  <c r="M1398" i="2"/>
  <c r="N1398" i="2"/>
  <c r="K1415" i="2"/>
  <c r="L1415" i="2"/>
  <c r="M1415" i="2"/>
  <c r="N1415" i="2"/>
  <c r="K1419" i="2"/>
  <c r="L1419" i="2"/>
  <c r="M1419" i="2"/>
  <c r="N1419" i="2"/>
  <c r="K1453" i="2"/>
  <c r="L1453" i="2"/>
  <c r="M1453" i="2"/>
  <c r="N1453" i="2"/>
  <c r="K1454" i="2"/>
  <c r="L1454" i="2"/>
  <c r="M1454" i="2"/>
  <c r="N1454" i="2"/>
  <c r="K1455" i="2"/>
  <c r="L1455" i="2"/>
  <c r="M1455" i="2"/>
  <c r="N1455" i="2"/>
  <c r="K1456" i="2"/>
  <c r="L1456" i="2"/>
  <c r="M1456" i="2"/>
  <c r="N1456" i="2"/>
  <c r="K1470" i="2"/>
  <c r="L1470" i="2"/>
  <c r="M1470" i="2"/>
  <c r="N1470" i="2"/>
  <c r="K1471" i="2"/>
  <c r="L1471" i="2"/>
  <c r="M1471" i="2"/>
  <c r="N1471" i="2"/>
  <c r="K1469" i="2"/>
  <c r="L1469" i="2"/>
  <c r="M1469" i="2"/>
  <c r="N1469" i="2"/>
  <c r="K1466" i="2"/>
  <c r="L1466" i="2"/>
  <c r="M1466" i="2"/>
  <c r="N1466" i="2"/>
  <c r="K1467" i="2"/>
  <c r="L1467" i="2"/>
  <c r="M1467" i="2"/>
  <c r="N1467" i="2"/>
  <c r="K1468" i="2"/>
  <c r="L1468" i="2"/>
  <c r="M1468" i="2"/>
  <c r="N1468" i="2"/>
  <c r="K1476" i="2"/>
  <c r="L1476" i="2"/>
  <c r="M1476" i="2"/>
  <c r="N1476" i="2"/>
  <c r="K1478" i="2"/>
  <c r="L1478" i="2"/>
  <c r="M1478" i="2"/>
  <c r="N1478" i="2"/>
  <c r="K1479" i="2"/>
  <c r="L1479" i="2"/>
  <c r="M1479" i="2"/>
  <c r="N1479" i="2"/>
  <c r="K1480" i="2"/>
  <c r="L1480" i="2"/>
  <c r="M1480" i="2"/>
  <c r="N1480" i="2"/>
  <c r="K1486" i="2"/>
  <c r="L1486" i="2"/>
  <c r="M1486" i="2"/>
  <c r="N1486" i="2"/>
  <c r="K1482" i="2"/>
  <c r="L1482" i="2"/>
  <c r="M1482" i="2"/>
  <c r="N1482" i="2"/>
  <c r="K1483" i="2"/>
  <c r="L1483" i="2"/>
  <c r="M1483" i="2"/>
  <c r="N1483" i="2"/>
  <c r="K1484" i="2"/>
  <c r="L1484" i="2"/>
  <c r="M1484" i="2"/>
  <c r="N1484" i="2"/>
  <c r="K1485" i="2"/>
  <c r="L1485" i="2"/>
  <c r="M1485" i="2"/>
  <c r="N1485" i="2"/>
  <c r="K1489" i="2"/>
  <c r="L1489" i="2"/>
  <c r="M1489" i="2"/>
  <c r="N1489" i="2"/>
  <c r="K1494" i="2"/>
  <c r="L1494" i="2"/>
  <c r="M1494" i="2"/>
  <c r="N1494" i="2"/>
  <c r="K1495" i="2"/>
  <c r="L1495" i="2"/>
  <c r="M1495" i="2"/>
  <c r="N1495" i="2"/>
  <c r="K1499" i="2"/>
  <c r="L1499" i="2"/>
  <c r="M1499" i="2"/>
  <c r="N1499" i="2"/>
  <c r="K1500" i="2"/>
  <c r="L1500" i="2"/>
  <c r="M1500" i="2"/>
  <c r="N1500" i="2"/>
  <c r="K1501" i="2"/>
  <c r="L1501" i="2"/>
  <c r="M1501" i="2"/>
  <c r="N1501" i="2"/>
  <c r="K1504" i="2"/>
  <c r="L1504" i="2"/>
  <c r="M1504" i="2"/>
  <c r="N1504" i="2"/>
  <c r="K1505" i="2"/>
  <c r="L1505" i="2"/>
  <c r="M1505" i="2"/>
  <c r="N1505" i="2"/>
  <c r="K1506" i="2"/>
  <c r="L1506" i="2"/>
  <c r="M1506" i="2"/>
  <c r="N1506" i="2"/>
  <c r="K1513" i="2"/>
  <c r="L1513" i="2"/>
  <c r="M1513" i="2"/>
  <c r="N1513" i="2"/>
  <c r="K1516" i="2"/>
  <c r="L1516" i="2"/>
  <c r="M1516" i="2"/>
  <c r="N1516" i="2"/>
  <c r="K1517" i="2"/>
  <c r="L1517" i="2"/>
  <c r="M1517" i="2"/>
  <c r="N1517" i="2"/>
  <c r="K1562" i="2"/>
  <c r="L1562" i="2"/>
  <c r="M1562" i="2"/>
  <c r="N1562" i="2"/>
  <c r="K1572" i="2"/>
  <c r="L1572" i="2"/>
  <c r="M1572" i="2"/>
  <c r="N1572" i="2"/>
  <c r="K1565" i="2"/>
  <c r="L1565" i="2"/>
  <c r="M1565" i="2"/>
  <c r="N1565" i="2"/>
  <c r="K1566" i="2"/>
  <c r="L1566" i="2"/>
  <c r="M1566" i="2"/>
  <c r="N1566" i="2"/>
  <c r="K1575" i="2"/>
  <c r="L1575" i="2"/>
  <c r="M1575" i="2"/>
  <c r="N1575" i="2"/>
  <c r="K1582" i="2"/>
  <c r="L1582" i="2"/>
  <c r="M1582" i="2"/>
  <c r="N1582" i="2"/>
  <c r="K1583" i="2"/>
  <c r="L1583" i="2"/>
  <c r="M1583" i="2"/>
  <c r="N1583" i="2"/>
  <c r="K1578" i="2"/>
  <c r="L1578" i="2"/>
  <c r="M1578" i="2"/>
  <c r="N1578" i="2"/>
  <c r="K1579" i="2"/>
  <c r="L1579" i="2"/>
  <c r="M1579" i="2"/>
  <c r="N1579" i="2"/>
  <c r="K1580" i="2"/>
  <c r="L1580" i="2"/>
  <c r="M1580" i="2"/>
  <c r="N1580" i="2"/>
  <c r="K1584" i="2"/>
  <c r="L1584" i="2"/>
  <c r="M1584" i="2"/>
  <c r="N1584" i="2"/>
  <c r="K1585" i="2"/>
  <c r="L1585" i="2"/>
  <c r="M1585" i="2"/>
  <c r="N1585" i="2"/>
  <c r="K1593" i="2"/>
  <c r="L1593" i="2"/>
  <c r="M1593" i="2"/>
  <c r="N1593" i="2"/>
  <c r="K1594" i="2"/>
  <c r="L1594" i="2"/>
  <c r="M1594" i="2"/>
  <c r="N1594" i="2"/>
  <c r="K1595" i="2"/>
  <c r="L1595" i="2"/>
  <c r="M1595" i="2"/>
  <c r="N1595" i="2"/>
  <c r="K1596" i="2"/>
  <c r="L1596" i="2"/>
  <c r="M1596" i="2"/>
  <c r="N1596" i="2"/>
  <c r="K1597" i="2"/>
  <c r="L1597" i="2"/>
  <c r="M1597" i="2"/>
  <c r="N1597" i="2"/>
  <c r="K1598" i="2"/>
  <c r="L1598" i="2"/>
  <c r="M1598" i="2"/>
  <c r="N1598" i="2"/>
  <c r="K1599" i="2"/>
  <c r="L1599" i="2"/>
  <c r="M1599" i="2"/>
  <c r="N1599" i="2"/>
  <c r="K1600" i="2"/>
  <c r="L1600" i="2"/>
  <c r="M1600" i="2"/>
  <c r="N1600" i="2"/>
  <c r="K1601" i="2"/>
  <c r="L1601" i="2"/>
  <c r="M1601" i="2"/>
  <c r="N1601" i="2"/>
  <c r="K1603" i="2"/>
  <c r="L1603" i="2"/>
  <c r="M1603" i="2"/>
  <c r="N1603" i="2"/>
  <c r="K1604" i="2"/>
  <c r="L1604" i="2"/>
  <c r="M1604" i="2"/>
  <c r="N1604" i="2"/>
  <c r="K1605" i="2"/>
  <c r="L1605" i="2"/>
  <c r="M1605" i="2"/>
  <c r="N1605" i="2"/>
  <c r="K1606" i="2"/>
  <c r="L1606" i="2"/>
  <c r="M1606" i="2"/>
  <c r="N1606" i="2"/>
  <c r="K1607" i="2"/>
  <c r="L1607" i="2"/>
  <c r="M1607" i="2"/>
  <c r="N1607" i="2"/>
  <c r="K1608" i="2"/>
  <c r="L1608" i="2"/>
  <c r="M1608" i="2"/>
  <c r="N1608" i="2"/>
  <c r="K1609" i="2"/>
  <c r="L1609" i="2"/>
  <c r="M1609" i="2"/>
  <c r="N1609" i="2"/>
  <c r="K1612" i="2"/>
  <c r="L1612" i="2"/>
  <c r="M1612" i="2"/>
  <c r="N1612" i="2"/>
  <c r="K1619" i="2"/>
  <c r="L1619" i="2"/>
  <c r="M1619" i="2"/>
  <c r="N1619" i="2"/>
  <c r="K1618" i="2"/>
  <c r="L1618" i="2"/>
  <c r="M1618" i="2"/>
  <c r="N1618" i="2"/>
  <c r="K1623" i="2"/>
  <c r="L1623" i="2"/>
  <c r="M1623" i="2"/>
  <c r="N1623" i="2"/>
  <c r="K1629" i="2"/>
  <c r="L1629" i="2"/>
  <c r="M1629" i="2"/>
  <c r="N1629" i="2"/>
  <c r="K1637" i="2"/>
  <c r="L1637" i="2"/>
  <c r="M1637" i="2"/>
  <c r="N1637" i="2"/>
  <c r="K1642" i="2"/>
  <c r="L1642" i="2"/>
  <c r="M1642" i="2"/>
  <c r="N1642" i="2"/>
  <c r="K1643" i="2"/>
  <c r="L1643" i="2"/>
  <c r="M1643" i="2"/>
  <c r="N1643" i="2"/>
  <c r="K1645" i="2"/>
  <c r="L1645" i="2"/>
  <c r="M1645" i="2"/>
  <c r="N1645" i="2"/>
  <c r="K1646" i="2"/>
  <c r="L1646" i="2"/>
  <c r="M1646" i="2"/>
  <c r="N1646" i="2"/>
  <c r="K1647" i="2"/>
  <c r="L1647" i="2"/>
  <c r="M1647" i="2"/>
  <c r="N1647" i="2"/>
  <c r="K1662" i="2"/>
  <c r="L1662" i="2"/>
  <c r="M1662" i="2"/>
  <c r="N1662" i="2"/>
  <c r="K1663" i="2"/>
  <c r="L1663" i="2"/>
  <c r="M1663" i="2"/>
  <c r="N1663" i="2"/>
  <c r="K1664" i="2"/>
  <c r="L1664" i="2"/>
  <c r="M1664" i="2"/>
  <c r="N1664" i="2"/>
  <c r="K1668" i="2"/>
  <c r="L1668" i="2"/>
  <c r="M1668" i="2"/>
  <c r="N1668" i="2"/>
  <c r="K1669" i="2"/>
  <c r="L1669" i="2"/>
  <c r="M1669" i="2"/>
  <c r="N1669" i="2"/>
  <c r="K1673" i="2"/>
  <c r="L1673" i="2"/>
  <c r="M1673" i="2"/>
  <c r="N1673" i="2"/>
  <c r="K1674" i="2"/>
  <c r="L1674" i="2"/>
  <c r="M1674" i="2"/>
  <c r="N1674" i="2"/>
  <c r="K1675" i="2"/>
  <c r="L1675" i="2"/>
  <c r="M1675" i="2"/>
  <c r="N1675" i="2"/>
  <c r="K1679" i="2"/>
  <c r="L1679" i="2"/>
  <c r="M1679" i="2"/>
  <c r="N1679" i="2"/>
  <c r="K1680" i="2"/>
  <c r="L1680" i="2"/>
  <c r="M1680" i="2"/>
  <c r="N1680" i="2"/>
  <c r="K1684" i="2"/>
  <c r="L1684" i="2"/>
  <c r="M1684" i="2"/>
  <c r="N1684" i="2"/>
  <c r="K1685" i="2"/>
  <c r="L1685" i="2"/>
  <c r="M1685" i="2"/>
  <c r="N1685" i="2"/>
  <c r="K1686" i="2"/>
  <c r="L1686" i="2"/>
  <c r="M1686" i="2"/>
  <c r="N1686" i="2"/>
  <c r="K1687" i="2"/>
  <c r="L1687" i="2"/>
  <c r="M1687" i="2"/>
  <c r="N1687" i="2"/>
  <c r="K1688" i="2"/>
  <c r="L1688" i="2"/>
  <c r="M1688" i="2"/>
  <c r="N1688" i="2"/>
  <c r="K1689" i="2"/>
  <c r="L1689" i="2"/>
  <c r="M1689" i="2"/>
  <c r="N1689" i="2"/>
  <c r="K1697" i="2"/>
  <c r="L1697" i="2"/>
  <c r="M1697" i="2"/>
  <c r="N1697" i="2"/>
  <c r="K1691" i="2"/>
  <c r="L1691" i="2"/>
  <c r="M1691" i="2"/>
  <c r="N1691" i="2"/>
  <c r="K1692" i="2"/>
  <c r="L1692" i="2"/>
  <c r="M1692" i="2"/>
  <c r="N1692" i="2"/>
  <c r="K1693" i="2"/>
  <c r="L1693" i="2"/>
  <c r="M1693" i="2"/>
  <c r="N1693" i="2"/>
  <c r="K1694" i="2"/>
  <c r="L1694" i="2"/>
  <c r="M1694" i="2"/>
  <c r="N1694" i="2"/>
  <c r="K1695" i="2"/>
  <c r="L1695" i="2"/>
  <c r="M1695" i="2"/>
  <c r="N1695" i="2"/>
  <c r="K1696" i="2"/>
  <c r="L1696" i="2"/>
  <c r="M1696" i="2"/>
  <c r="N1696" i="2"/>
  <c r="K1702" i="2"/>
  <c r="L1702" i="2"/>
  <c r="M1702" i="2"/>
  <c r="N1702" i="2"/>
  <c r="K1703" i="2"/>
  <c r="L1703" i="2"/>
  <c r="M1703" i="2"/>
  <c r="N1703" i="2"/>
  <c r="K1700" i="2"/>
  <c r="L1700" i="2"/>
  <c r="M1700" i="2"/>
  <c r="N1700" i="2"/>
  <c r="K1713" i="2"/>
  <c r="L1713" i="2"/>
  <c r="M1713" i="2"/>
  <c r="N1713" i="2"/>
  <c r="K1714" i="2"/>
  <c r="L1714" i="2"/>
  <c r="M1714" i="2"/>
  <c r="N1714" i="2"/>
  <c r="K1718" i="2"/>
  <c r="L1718" i="2"/>
  <c r="M1718" i="2"/>
  <c r="N1718" i="2"/>
  <c r="K1724" i="2"/>
  <c r="L1724" i="2"/>
  <c r="M1724" i="2"/>
  <c r="N1724" i="2"/>
  <c r="K1725" i="2"/>
  <c r="L1725" i="2"/>
  <c r="M1725" i="2"/>
  <c r="N1725" i="2"/>
  <c r="K1726" i="2"/>
  <c r="L1726" i="2"/>
  <c r="M1726" i="2"/>
  <c r="N1726" i="2"/>
  <c r="K1727" i="2"/>
  <c r="L1727" i="2"/>
  <c r="M1727" i="2"/>
  <c r="N1727" i="2"/>
  <c r="K1722" i="2"/>
  <c r="L1722" i="2"/>
  <c r="M1722" i="2"/>
  <c r="N1722" i="2"/>
  <c r="K1723" i="2"/>
  <c r="L1723" i="2"/>
  <c r="M1723" i="2"/>
  <c r="N1723" i="2"/>
  <c r="K1730" i="2"/>
  <c r="L1730" i="2"/>
  <c r="M1730" i="2"/>
  <c r="N1730" i="2"/>
  <c r="K1731" i="2"/>
  <c r="L1731" i="2"/>
  <c r="M1731" i="2"/>
  <c r="N1731" i="2"/>
  <c r="K1732" i="2"/>
  <c r="L1732" i="2"/>
  <c r="M1732" i="2"/>
  <c r="N1732" i="2"/>
  <c r="K1733" i="2"/>
  <c r="L1733" i="2"/>
  <c r="M1733" i="2"/>
  <c r="N1733" i="2"/>
  <c r="K1738" i="2"/>
  <c r="L1738" i="2"/>
  <c r="M1738" i="2"/>
  <c r="N1738" i="2"/>
  <c r="K1735" i="2"/>
  <c r="L1735" i="2"/>
  <c r="M1735" i="2"/>
  <c r="N1735" i="2"/>
  <c r="K1736" i="2"/>
  <c r="L1736" i="2"/>
  <c r="M1736" i="2"/>
  <c r="N1736" i="2"/>
  <c r="K1737" i="2"/>
  <c r="L1737" i="2"/>
  <c r="M1737" i="2"/>
  <c r="N1737" i="2"/>
  <c r="K1744" i="2"/>
  <c r="L1744" i="2"/>
  <c r="M1744" i="2"/>
  <c r="N1744" i="2"/>
  <c r="K1750" i="2"/>
  <c r="L1750" i="2"/>
  <c r="M1750" i="2"/>
  <c r="N1750" i="2"/>
  <c r="K1753" i="2"/>
  <c r="L1753" i="2"/>
  <c r="M1753" i="2"/>
  <c r="N1753" i="2"/>
  <c r="K1754" i="2"/>
  <c r="L1754" i="2"/>
  <c r="M1754" i="2"/>
  <c r="N1754" i="2"/>
  <c r="K1756" i="2"/>
  <c r="L1756" i="2"/>
  <c r="M1756" i="2"/>
  <c r="N1756" i="2"/>
  <c r="K1755" i="2"/>
  <c r="L1755" i="2"/>
  <c r="M1755" i="2"/>
  <c r="N1755" i="2"/>
  <c r="K1765" i="2"/>
  <c r="L1765" i="2"/>
  <c r="M1765" i="2"/>
  <c r="N1765" i="2"/>
  <c r="K1782" i="2"/>
  <c r="L1782" i="2"/>
  <c r="M1782" i="2"/>
  <c r="N1782" i="2"/>
  <c r="K1772" i="2"/>
  <c r="L1772" i="2"/>
  <c r="M1772" i="2"/>
  <c r="N1772" i="2"/>
  <c r="K1773" i="2"/>
  <c r="L1773" i="2"/>
  <c r="M1773" i="2"/>
  <c r="N1773" i="2"/>
  <c r="K1774" i="2"/>
  <c r="L1774" i="2"/>
  <c r="M1774" i="2"/>
  <c r="N1774" i="2"/>
  <c r="K1779" i="2"/>
  <c r="L1779" i="2"/>
  <c r="M1779" i="2"/>
  <c r="N1779" i="2"/>
  <c r="K1780" i="2"/>
  <c r="L1780" i="2"/>
  <c r="M1780" i="2"/>
  <c r="N1780" i="2"/>
  <c r="K1775" i="2"/>
  <c r="L1775" i="2"/>
  <c r="M1775" i="2"/>
  <c r="N1775" i="2"/>
  <c r="K1776" i="2"/>
  <c r="L1776" i="2"/>
  <c r="M1776" i="2"/>
  <c r="N1776" i="2"/>
  <c r="K1777" i="2"/>
  <c r="L1777" i="2"/>
  <c r="M1777" i="2"/>
  <c r="N1777" i="2"/>
  <c r="K1778" i="2"/>
  <c r="L1778" i="2"/>
  <c r="M1778" i="2"/>
  <c r="N1778" i="2"/>
  <c r="K1784" i="2"/>
  <c r="L1784" i="2"/>
  <c r="M1784" i="2"/>
  <c r="N1784" i="2"/>
  <c r="K1788" i="2"/>
  <c r="L1788" i="2"/>
  <c r="M1788" i="2"/>
  <c r="N1788" i="2"/>
  <c r="K1785" i="2"/>
  <c r="L1785" i="2"/>
  <c r="M1785" i="2"/>
  <c r="N1785" i="2"/>
  <c r="K1786" i="2"/>
  <c r="L1786" i="2"/>
  <c r="M1786" i="2"/>
  <c r="N1786" i="2"/>
  <c r="K1787" i="2"/>
  <c r="L1787" i="2"/>
  <c r="M1787" i="2"/>
  <c r="N1787" i="2"/>
  <c r="K1791" i="2"/>
  <c r="L1791" i="2"/>
  <c r="M1791" i="2"/>
  <c r="N1791" i="2"/>
  <c r="K1792" i="2"/>
  <c r="L1792" i="2"/>
  <c r="M1792" i="2"/>
  <c r="N1792" i="2"/>
  <c r="K1793" i="2"/>
  <c r="L1793" i="2"/>
  <c r="M1793" i="2"/>
  <c r="N1793" i="2"/>
  <c r="K1798" i="2"/>
  <c r="L1798" i="2"/>
  <c r="M1798" i="2"/>
  <c r="N1798" i="2"/>
  <c r="K1800" i="2"/>
  <c r="L1800" i="2"/>
  <c r="M1800" i="2"/>
  <c r="N1800" i="2"/>
  <c r="K1802" i="2"/>
  <c r="L1802" i="2"/>
  <c r="M1802" i="2"/>
  <c r="N1802" i="2"/>
  <c r="K1803" i="2"/>
  <c r="L1803" i="2"/>
  <c r="M1803" i="2"/>
  <c r="N1803" i="2"/>
  <c r="K1804" i="2"/>
  <c r="L1804" i="2"/>
  <c r="M1804" i="2"/>
  <c r="N1804" i="2"/>
  <c r="K1807" i="2"/>
  <c r="L1807" i="2"/>
  <c r="M1807" i="2"/>
  <c r="N1807" i="2"/>
  <c r="K1808" i="2"/>
  <c r="L1808" i="2"/>
  <c r="M1808" i="2"/>
  <c r="N1808" i="2"/>
  <c r="K1809" i="2"/>
  <c r="L1809" i="2"/>
  <c r="M1809" i="2"/>
  <c r="N1809" i="2"/>
  <c r="K1810" i="2"/>
  <c r="L1810" i="2"/>
  <c r="M1810" i="2"/>
  <c r="N1810" i="2"/>
  <c r="K1811" i="2"/>
  <c r="L1811" i="2"/>
  <c r="M1811" i="2"/>
  <c r="N1811" i="2"/>
  <c r="K1815" i="2"/>
  <c r="L1815" i="2"/>
  <c r="M1815" i="2"/>
  <c r="N1815" i="2"/>
  <c r="K1816" i="2"/>
  <c r="L1816" i="2"/>
  <c r="M1816" i="2"/>
  <c r="N1816" i="2"/>
  <c r="K1817" i="2"/>
  <c r="L1817" i="2"/>
  <c r="M1817" i="2"/>
  <c r="N1817" i="2"/>
  <c r="K1818" i="2"/>
  <c r="L1818" i="2"/>
  <c r="M1818" i="2"/>
  <c r="N1818" i="2"/>
  <c r="K1822" i="2"/>
  <c r="L1822" i="2"/>
  <c r="M1822" i="2"/>
  <c r="N1822" i="2"/>
  <c r="K1823" i="2"/>
  <c r="L1823" i="2"/>
  <c r="M1823" i="2"/>
  <c r="N1823" i="2"/>
  <c r="K1824" i="2"/>
  <c r="L1824" i="2"/>
  <c r="M1824" i="2"/>
  <c r="N1824" i="2"/>
  <c r="K1828" i="2"/>
  <c r="L1828" i="2"/>
  <c r="M1828" i="2"/>
  <c r="N1828" i="2"/>
  <c r="K1832" i="2"/>
  <c r="L1832" i="2"/>
  <c r="M1832" i="2"/>
  <c r="N1832" i="2"/>
  <c r="K1829" i="2"/>
  <c r="L1829" i="2"/>
  <c r="M1829" i="2"/>
  <c r="N1829" i="2"/>
  <c r="K1830" i="2"/>
  <c r="L1830" i="2"/>
  <c r="M1830" i="2"/>
  <c r="N1830" i="2"/>
  <c r="K1833" i="2"/>
  <c r="L1833" i="2"/>
  <c r="M1833" i="2"/>
  <c r="N1833" i="2"/>
  <c r="K1834" i="2"/>
  <c r="L1834" i="2"/>
  <c r="M1834" i="2"/>
  <c r="N1834" i="2"/>
  <c r="K1835" i="2"/>
  <c r="L1835" i="2"/>
  <c r="M1835" i="2"/>
  <c r="N1835" i="2"/>
  <c r="K1841" i="2"/>
  <c r="L1841" i="2"/>
  <c r="M1841" i="2"/>
  <c r="N1841" i="2"/>
  <c r="K1842" i="2"/>
  <c r="L1842" i="2"/>
  <c r="M1842" i="2"/>
  <c r="N1842" i="2"/>
  <c r="K1844" i="2"/>
  <c r="L1844" i="2"/>
  <c r="M1844" i="2"/>
  <c r="N1844" i="2"/>
  <c r="K1843" i="2"/>
  <c r="L1843" i="2"/>
  <c r="M1843" i="2"/>
  <c r="N1843" i="2"/>
  <c r="K1847" i="2"/>
  <c r="L1847" i="2"/>
  <c r="M1847" i="2"/>
  <c r="N1847" i="2"/>
  <c r="K1848" i="2"/>
  <c r="L1848" i="2"/>
  <c r="M1848" i="2"/>
  <c r="N1848" i="2"/>
  <c r="K1849" i="2"/>
  <c r="L1849" i="2"/>
  <c r="M1849" i="2"/>
  <c r="N1849" i="2"/>
  <c r="K1850" i="2"/>
  <c r="L1850" i="2"/>
  <c r="M1850" i="2"/>
  <c r="N1850" i="2"/>
  <c r="K1851" i="2"/>
  <c r="L1851" i="2"/>
  <c r="M1851" i="2"/>
  <c r="N1851" i="2"/>
  <c r="K1852" i="2"/>
  <c r="L1852" i="2"/>
  <c r="M1852" i="2"/>
  <c r="N1852" i="2"/>
  <c r="K1853" i="2"/>
  <c r="L1853" i="2"/>
  <c r="M1853" i="2"/>
  <c r="N1853" i="2"/>
  <c r="K1854" i="2"/>
  <c r="L1854" i="2"/>
  <c r="M1854" i="2"/>
  <c r="N1854" i="2"/>
  <c r="K1856" i="2"/>
  <c r="L1856" i="2"/>
  <c r="M1856" i="2"/>
  <c r="N1856" i="2"/>
  <c r="K1861" i="2"/>
  <c r="L1861" i="2"/>
  <c r="M1861" i="2"/>
  <c r="N1861" i="2"/>
  <c r="K1867" i="2"/>
  <c r="L1867" i="2"/>
  <c r="M1867" i="2"/>
  <c r="N1867" i="2"/>
  <c r="K1892" i="2"/>
  <c r="L1892" i="2"/>
  <c r="M1892" i="2"/>
  <c r="N1892" i="2"/>
  <c r="K1896" i="2"/>
  <c r="L1896" i="2"/>
  <c r="M1896" i="2"/>
  <c r="N1896" i="2"/>
  <c r="K1900" i="2"/>
  <c r="L1900" i="2"/>
  <c r="M1900" i="2"/>
  <c r="N1900" i="2"/>
  <c r="K1906" i="2"/>
  <c r="L1906" i="2"/>
  <c r="M1906" i="2"/>
  <c r="N1906" i="2"/>
  <c r="K1902" i="2"/>
  <c r="L1902" i="2"/>
  <c r="M1902" i="2"/>
  <c r="N1902" i="2"/>
  <c r="K1903" i="2"/>
  <c r="L1903" i="2"/>
  <c r="M1903" i="2"/>
  <c r="N1903" i="2"/>
  <c r="K1908" i="2"/>
  <c r="L1908" i="2"/>
  <c r="M1908" i="2"/>
  <c r="N1908" i="2"/>
  <c r="K1907" i="2"/>
  <c r="L1907" i="2"/>
  <c r="M1907" i="2"/>
  <c r="N1907" i="2"/>
  <c r="K1915" i="2"/>
  <c r="L1915" i="2"/>
  <c r="M1915" i="2"/>
  <c r="N1915" i="2"/>
  <c r="K1914" i="2"/>
  <c r="L1914" i="2"/>
  <c r="M1914" i="2"/>
  <c r="N1914" i="2"/>
  <c r="K1911" i="2"/>
  <c r="L1911" i="2"/>
  <c r="M1911" i="2"/>
  <c r="N1911" i="2"/>
  <c r="K1912" i="2"/>
  <c r="L1912" i="2"/>
  <c r="M1912" i="2"/>
  <c r="N1912" i="2"/>
  <c r="K1913" i="2"/>
  <c r="L1913" i="2"/>
  <c r="M1913" i="2"/>
  <c r="N1913" i="2"/>
  <c r="K1917" i="2"/>
  <c r="L1917" i="2"/>
  <c r="M1917" i="2"/>
  <c r="N1917" i="2"/>
  <c r="K1920" i="2"/>
  <c r="L1920" i="2"/>
  <c r="M1920" i="2"/>
  <c r="N1920" i="2"/>
  <c r="K1921" i="2"/>
  <c r="L1921" i="2"/>
  <c r="M1921" i="2"/>
  <c r="N1921" i="2"/>
  <c r="K1922" i="2"/>
  <c r="L1922" i="2"/>
  <c r="M1922" i="2"/>
  <c r="N1922" i="2"/>
  <c r="K1926" i="2"/>
  <c r="L1926" i="2"/>
  <c r="M1926" i="2"/>
  <c r="N1926" i="2"/>
  <c r="K1930" i="2"/>
  <c r="L1930" i="2"/>
  <c r="M1930" i="2"/>
  <c r="N1930" i="2"/>
  <c r="J47" i="1"/>
  <c r="K47" i="1"/>
  <c r="L47" i="1"/>
  <c r="M47" i="1"/>
  <c r="J49" i="1"/>
  <c r="K49" i="1"/>
  <c r="L49" i="1"/>
  <c r="M49" i="1"/>
  <c r="J50" i="1"/>
  <c r="K50" i="1"/>
  <c r="L50" i="1"/>
  <c r="M50" i="1"/>
  <c r="J58" i="1"/>
  <c r="K58" i="1"/>
  <c r="L58" i="1"/>
  <c r="M58" i="1"/>
  <c r="J68" i="1"/>
  <c r="K68" i="1"/>
  <c r="L68" i="1"/>
  <c r="M68" i="1"/>
  <c r="J69" i="1"/>
  <c r="K69" i="1"/>
  <c r="L69" i="1"/>
  <c r="M69" i="1"/>
  <c r="J70" i="1"/>
  <c r="K70" i="1"/>
  <c r="L70" i="1"/>
  <c r="M70" i="1"/>
  <c r="J71" i="1"/>
  <c r="K71" i="1"/>
  <c r="L71" i="1"/>
  <c r="M71" i="1"/>
  <c r="J72" i="1"/>
  <c r="K72" i="1"/>
  <c r="L72" i="1"/>
  <c r="M72" i="1"/>
  <c r="J73" i="1"/>
  <c r="K73" i="1"/>
  <c r="L73" i="1"/>
  <c r="M73" i="1"/>
  <c r="J75" i="1"/>
  <c r="K75" i="1"/>
  <c r="L75" i="1"/>
  <c r="M75" i="1"/>
  <c r="J78" i="1"/>
  <c r="K78" i="1"/>
  <c r="L78" i="1"/>
  <c r="M78" i="1"/>
  <c r="J81" i="1"/>
  <c r="K81" i="1"/>
  <c r="L81" i="1"/>
  <c r="M81" i="1"/>
  <c r="J82" i="1"/>
  <c r="K82" i="1"/>
  <c r="L82" i="1"/>
  <c r="M82" i="1"/>
  <c r="J85" i="1"/>
  <c r="K85" i="1"/>
  <c r="L85" i="1"/>
  <c r="M85" i="1"/>
  <c r="J86" i="1"/>
  <c r="K86" i="1"/>
  <c r="L86" i="1"/>
  <c r="M86" i="1"/>
  <c r="J88" i="1"/>
  <c r="K88" i="1"/>
  <c r="L88" i="1"/>
  <c r="M88" i="1"/>
  <c r="J87" i="1"/>
  <c r="K87" i="1"/>
  <c r="L87" i="1"/>
  <c r="M87" i="1"/>
  <c r="J90" i="1"/>
  <c r="K90" i="1"/>
  <c r="L90" i="1"/>
  <c r="M90" i="1"/>
  <c r="J92" i="1"/>
  <c r="K92" i="1"/>
  <c r="L92" i="1"/>
  <c r="M92" i="1"/>
  <c r="J93" i="1"/>
  <c r="K93" i="1"/>
  <c r="L93" i="1"/>
  <c r="M93" i="1"/>
  <c r="J95" i="1"/>
  <c r="K95" i="1"/>
  <c r="L95" i="1"/>
  <c r="M95" i="1"/>
  <c r="J96" i="1"/>
  <c r="K96" i="1"/>
  <c r="L96" i="1"/>
  <c r="M96" i="1"/>
  <c r="J97" i="1"/>
  <c r="K97" i="1"/>
  <c r="L97" i="1"/>
  <c r="M97" i="1"/>
  <c r="J99" i="1"/>
  <c r="K99" i="1"/>
  <c r="L99" i="1"/>
  <c r="M99" i="1"/>
  <c r="J100" i="1"/>
  <c r="K100" i="1"/>
  <c r="L100" i="1"/>
  <c r="M100" i="1"/>
  <c r="J101" i="1"/>
  <c r="K101" i="1"/>
  <c r="L101" i="1"/>
  <c r="M101" i="1"/>
  <c r="J105" i="1"/>
  <c r="K105" i="1"/>
  <c r="L105" i="1"/>
  <c r="M105" i="1"/>
  <c r="J114" i="1"/>
  <c r="K114" i="1"/>
  <c r="L114" i="1"/>
  <c r="M114" i="1"/>
  <c r="J115" i="1"/>
  <c r="K115" i="1"/>
  <c r="L115" i="1"/>
  <c r="M115" i="1"/>
  <c r="J116" i="1"/>
  <c r="K116" i="1"/>
  <c r="L116" i="1"/>
  <c r="M116" i="1"/>
  <c r="J118" i="1"/>
  <c r="K118" i="1"/>
  <c r="L118" i="1"/>
  <c r="M118" i="1"/>
  <c r="J119" i="1"/>
  <c r="K119" i="1"/>
  <c r="L119" i="1"/>
  <c r="M119" i="1"/>
  <c r="J120" i="1"/>
  <c r="K120" i="1"/>
  <c r="L120" i="1"/>
  <c r="M120" i="1"/>
  <c r="J122" i="1"/>
  <c r="K122" i="1"/>
  <c r="L122" i="1"/>
  <c r="M122" i="1"/>
  <c r="J129" i="1"/>
  <c r="K129" i="1"/>
  <c r="L129" i="1"/>
  <c r="M129" i="1"/>
  <c r="J123" i="1"/>
  <c r="K123" i="1"/>
  <c r="L123" i="1"/>
  <c r="M123" i="1"/>
  <c r="J124" i="1"/>
  <c r="K124" i="1"/>
  <c r="L124" i="1"/>
  <c r="M124" i="1"/>
  <c r="J125" i="1"/>
  <c r="K125" i="1"/>
  <c r="L125" i="1"/>
  <c r="M125" i="1"/>
  <c r="J126" i="1"/>
  <c r="K126" i="1"/>
  <c r="L126" i="1"/>
  <c r="M126" i="1"/>
  <c r="J127" i="1"/>
  <c r="K127" i="1"/>
  <c r="L127" i="1"/>
  <c r="M127" i="1"/>
  <c r="J128" i="1"/>
  <c r="K128" i="1"/>
  <c r="L128" i="1"/>
  <c r="M128" i="1"/>
  <c r="J130" i="1"/>
  <c r="K130" i="1"/>
  <c r="L130" i="1"/>
  <c r="M130" i="1"/>
  <c r="J131" i="1"/>
  <c r="K131" i="1"/>
  <c r="L131" i="1"/>
  <c r="M131" i="1"/>
  <c r="J140" i="1"/>
  <c r="K140" i="1"/>
  <c r="L140" i="1"/>
  <c r="M140" i="1"/>
  <c r="J141" i="1"/>
  <c r="K141" i="1"/>
  <c r="L141" i="1"/>
  <c r="M141" i="1"/>
  <c r="J148" i="1"/>
  <c r="K148" i="1"/>
  <c r="L148" i="1"/>
  <c r="M148" i="1"/>
  <c r="J150" i="1"/>
  <c r="K150" i="1"/>
  <c r="L150" i="1"/>
  <c r="M150" i="1"/>
  <c r="J151" i="1"/>
  <c r="K151" i="1"/>
  <c r="L151" i="1"/>
  <c r="M151" i="1"/>
  <c r="J152" i="1"/>
  <c r="K152" i="1"/>
  <c r="L152" i="1"/>
  <c r="M152" i="1"/>
  <c r="J153" i="1"/>
  <c r="K153" i="1"/>
  <c r="L153" i="1"/>
  <c r="M153" i="1"/>
  <c r="J168" i="1"/>
  <c r="K168" i="1"/>
  <c r="L168" i="1"/>
  <c r="M168" i="1"/>
  <c r="J167" i="1"/>
  <c r="K167" i="1"/>
  <c r="L167" i="1"/>
  <c r="M167" i="1"/>
  <c r="J170" i="1"/>
  <c r="K170" i="1"/>
  <c r="L170" i="1"/>
  <c r="M170" i="1"/>
  <c r="J169" i="1"/>
  <c r="K169" i="1"/>
  <c r="L169" i="1"/>
  <c r="M169" i="1"/>
  <c r="J171" i="1"/>
  <c r="K171" i="1"/>
  <c r="L171" i="1"/>
  <c r="M171" i="1"/>
  <c r="J172" i="1"/>
  <c r="K172" i="1"/>
  <c r="L172" i="1"/>
  <c r="M172" i="1"/>
  <c r="J173" i="1"/>
  <c r="K173" i="1"/>
  <c r="L173" i="1"/>
  <c r="M173" i="1"/>
  <c r="J176" i="1"/>
  <c r="K176" i="1"/>
  <c r="L176" i="1"/>
  <c r="M176" i="1"/>
  <c r="J178" i="1"/>
  <c r="K178" i="1"/>
  <c r="L178" i="1"/>
  <c r="M178" i="1"/>
  <c r="J181" i="1"/>
  <c r="K181" i="1"/>
  <c r="L181" i="1"/>
  <c r="M181" i="1"/>
  <c r="J184" i="1"/>
  <c r="K184" i="1"/>
  <c r="L184" i="1"/>
  <c r="M184" i="1"/>
  <c r="J183" i="1"/>
  <c r="K183" i="1"/>
  <c r="L183" i="1"/>
  <c r="M183" i="1"/>
  <c r="J185" i="1"/>
  <c r="K185" i="1"/>
  <c r="L185" i="1"/>
  <c r="M185" i="1"/>
  <c r="J186" i="1"/>
  <c r="K186" i="1"/>
  <c r="L186" i="1"/>
  <c r="M186" i="1"/>
  <c r="J193" i="1"/>
  <c r="K193" i="1"/>
  <c r="L193" i="1"/>
  <c r="M193" i="1"/>
  <c r="J194" i="1"/>
  <c r="K194" i="1"/>
  <c r="L194" i="1"/>
  <c r="M194" i="1"/>
  <c r="J196" i="1"/>
  <c r="K196" i="1"/>
  <c r="L196" i="1"/>
  <c r="M196" i="1"/>
  <c r="J198" i="1"/>
  <c r="K198" i="1"/>
  <c r="L198" i="1"/>
  <c r="M198" i="1"/>
  <c r="J200" i="1"/>
  <c r="K200" i="1"/>
  <c r="L200" i="1"/>
  <c r="M200" i="1"/>
  <c r="J203" i="1"/>
  <c r="K203" i="1"/>
  <c r="L203" i="1"/>
  <c r="M203" i="1"/>
  <c r="J204" i="1"/>
  <c r="K204" i="1"/>
  <c r="L204" i="1"/>
  <c r="M204" i="1"/>
  <c r="J205" i="1"/>
  <c r="K205" i="1"/>
  <c r="L205" i="1"/>
  <c r="M205" i="1"/>
  <c r="J208" i="1"/>
  <c r="K208" i="1"/>
  <c r="L208" i="1"/>
  <c r="M208" i="1"/>
  <c r="J209" i="1"/>
  <c r="K209" i="1"/>
  <c r="L209" i="1"/>
  <c r="M209" i="1"/>
  <c r="J212" i="1"/>
  <c r="K212" i="1"/>
  <c r="L212" i="1"/>
  <c r="M212" i="1"/>
  <c r="J213" i="1"/>
  <c r="K213" i="1"/>
  <c r="L213" i="1"/>
  <c r="M213" i="1"/>
  <c r="J214" i="1"/>
  <c r="K214" i="1"/>
  <c r="L214" i="1"/>
  <c r="M214" i="1"/>
  <c r="J218" i="1"/>
  <c r="K218" i="1"/>
  <c r="L218" i="1"/>
  <c r="M218" i="1"/>
  <c r="J219" i="1"/>
  <c r="K219" i="1"/>
  <c r="L219" i="1"/>
  <c r="M219" i="1"/>
  <c r="J220" i="1"/>
  <c r="K220" i="1"/>
  <c r="L220" i="1"/>
  <c r="M220" i="1"/>
  <c r="J221" i="1"/>
  <c r="K221" i="1"/>
  <c r="L221" i="1"/>
  <c r="M221" i="1"/>
  <c r="J222" i="1"/>
  <c r="K222" i="1"/>
  <c r="L222" i="1"/>
  <c r="M222" i="1"/>
  <c r="J224" i="1"/>
  <c r="K224" i="1"/>
  <c r="L224" i="1"/>
  <c r="M224" i="1"/>
  <c r="J225" i="1"/>
  <c r="K225" i="1"/>
  <c r="L225" i="1"/>
  <c r="M225" i="1"/>
  <c r="J227" i="1"/>
  <c r="K227" i="1"/>
  <c r="L227" i="1"/>
  <c r="M227" i="1"/>
  <c r="J228" i="1"/>
  <c r="K228" i="1"/>
  <c r="L228" i="1"/>
  <c r="M228" i="1"/>
  <c r="J229" i="1"/>
  <c r="K229" i="1"/>
  <c r="L229" i="1"/>
  <c r="M229" i="1"/>
  <c r="J230" i="1"/>
  <c r="K230" i="1"/>
  <c r="L230" i="1"/>
  <c r="M230" i="1"/>
  <c r="J231" i="1"/>
  <c r="K231" i="1"/>
  <c r="L231" i="1"/>
  <c r="M231" i="1"/>
  <c r="J232" i="1"/>
  <c r="K232" i="1"/>
  <c r="L232" i="1"/>
  <c r="M232" i="1"/>
  <c r="J233" i="1"/>
  <c r="K233" i="1"/>
  <c r="L233" i="1"/>
  <c r="M233" i="1"/>
  <c r="J234" i="1"/>
  <c r="K234" i="1"/>
  <c r="L234" i="1"/>
  <c r="M234" i="1"/>
  <c r="J236" i="1"/>
  <c r="K236" i="1"/>
  <c r="L236" i="1"/>
  <c r="M236" i="1"/>
  <c r="J237" i="1"/>
  <c r="K237" i="1"/>
  <c r="L237" i="1"/>
  <c r="M237" i="1"/>
  <c r="J238" i="1"/>
  <c r="K238" i="1"/>
  <c r="L238" i="1"/>
  <c r="M238" i="1"/>
  <c r="J240" i="1"/>
  <c r="K240" i="1"/>
  <c r="L240" i="1"/>
  <c r="M240" i="1"/>
  <c r="J241" i="1"/>
  <c r="K241" i="1"/>
  <c r="L241" i="1"/>
  <c r="M241" i="1"/>
  <c r="J242" i="1"/>
  <c r="K242" i="1"/>
  <c r="L242" i="1"/>
  <c r="M242" i="1"/>
  <c r="J243" i="1"/>
  <c r="K243" i="1"/>
  <c r="L243" i="1"/>
  <c r="M243" i="1"/>
  <c r="J244" i="1"/>
  <c r="K244" i="1"/>
  <c r="L244" i="1"/>
  <c r="M244" i="1"/>
  <c r="J246" i="1"/>
  <c r="K246" i="1"/>
  <c r="L246" i="1"/>
  <c r="M246" i="1"/>
  <c r="J245" i="1"/>
  <c r="K245" i="1"/>
  <c r="L245" i="1"/>
  <c r="M245" i="1"/>
  <c r="J247" i="1"/>
  <c r="K247" i="1"/>
  <c r="L247" i="1"/>
  <c r="M247" i="1"/>
  <c r="J248" i="1"/>
  <c r="K248" i="1"/>
  <c r="L248" i="1"/>
  <c r="M248" i="1"/>
  <c r="J249" i="1"/>
  <c r="K249" i="1"/>
  <c r="L249" i="1"/>
  <c r="M249" i="1"/>
  <c r="J250" i="1"/>
  <c r="K250" i="1"/>
  <c r="L250" i="1"/>
  <c r="M250" i="1"/>
  <c r="J251" i="1"/>
  <c r="K251" i="1"/>
  <c r="L251" i="1"/>
  <c r="M251" i="1"/>
  <c r="J252" i="1"/>
  <c r="K252" i="1"/>
  <c r="L252" i="1"/>
  <c r="M252" i="1"/>
  <c r="J253" i="1"/>
  <c r="K253" i="1"/>
  <c r="L253" i="1"/>
  <c r="M253" i="1"/>
  <c r="J260" i="1"/>
  <c r="K260" i="1"/>
  <c r="L260" i="1"/>
  <c r="M260" i="1"/>
  <c r="J261" i="1"/>
  <c r="K261" i="1"/>
  <c r="L261" i="1"/>
  <c r="M261" i="1"/>
  <c r="J265" i="1"/>
  <c r="K265" i="1"/>
  <c r="L265" i="1"/>
  <c r="M265" i="1"/>
  <c r="J266" i="1"/>
  <c r="K266" i="1"/>
  <c r="L266" i="1"/>
  <c r="M266" i="1"/>
  <c r="J267" i="1"/>
  <c r="K267" i="1"/>
  <c r="L267" i="1"/>
  <c r="M267" i="1"/>
  <c r="J268" i="1"/>
  <c r="K268" i="1"/>
  <c r="L268" i="1"/>
  <c r="M268" i="1"/>
  <c r="J269" i="1"/>
  <c r="K269" i="1"/>
  <c r="L269" i="1"/>
  <c r="M269" i="1"/>
  <c r="J270" i="1"/>
  <c r="K270" i="1"/>
  <c r="L270" i="1"/>
  <c r="M270" i="1"/>
  <c r="J271" i="1"/>
  <c r="K271" i="1"/>
  <c r="L271" i="1"/>
  <c r="M271" i="1"/>
  <c r="J272" i="1"/>
  <c r="K272" i="1"/>
  <c r="L272" i="1"/>
  <c r="M272" i="1"/>
  <c r="J273" i="1"/>
  <c r="K273" i="1"/>
  <c r="L273" i="1"/>
  <c r="M273" i="1"/>
  <c r="J278" i="1"/>
  <c r="K278" i="1"/>
  <c r="L278" i="1"/>
  <c r="M278" i="1"/>
  <c r="J279" i="1"/>
  <c r="K279" i="1"/>
  <c r="L279" i="1"/>
  <c r="M279" i="1"/>
  <c r="J280" i="1"/>
  <c r="K280" i="1"/>
  <c r="L280" i="1"/>
  <c r="M280" i="1"/>
  <c r="J281" i="1"/>
  <c r="K281" i="1"/>
  <c r="L281" i="1"/>
  <c r="M281" i="1"/>
  <c r="J283" i="1"/>
  <c r="K283" i="1"/>
  <c r="L283" i="1"/>
  <c r="M283" i="1"/>
  <c r="J284" i="1"/>
  <c r="K284" i="1"/>
  <c r="L284" i="1"/>
  <c r="M284" i="1"/>
  <c r="J285" i="1"/>
  <c r="K285" i="1"/>
  <c r="L285" i="1"/>
  <c r="M285" i="1"/>
  <c r="J286" i="1"/>
  <c r="K286" i="1"/>
  <c r="L286" i="1"/>
  <c r="M286" i="1"/>
  <c r="J287" i="1"/>
  <c r="K287" i="1"/>
  <c r="L287" i="1"/>
  <c r="M287" i="1"/>
  <c r="J288" i="1"/>
  <c r="K288" i="1"/>
  <c r="L288" i="1"/>
  <c r="M288" i="1"/>
  <c r="J289" i="1"/>
  <c r="K289" i="1"/>
  <c r="L289" i="1"/>
  <c r="M289" i="1"/>
  <c r="J290" i="1"/>
  <c r="K290" i="1"/>
  <c r="L290" i="1"/>
  <c r="M290" i="1"/>
  <c r="J292" i="1"/>
  <c r="K292" i="1"/>
  <c r="L292" i="1"/>
  <c r="M292" i="1"/>
  <c r="J291" i="1"/>
  <c r="K291" i="1"/>
  <c r="L291" i="1"/>
  <c r="M291" i="1"/>
  <c r="J294" i="1"/>
  <c r="K294" i="1"/>
  <c r="L294" i="1"/>
  <c r="M294" i="1"/>
  <c r="J293" i="1"/>
  <c r="K293" i="1"/>
  <c r="L293" i="1"/>
  <c r="M293" i="1"/>
  <c r="J299" i="1"/>
  <c r="K299" i="1"/>
  <c r="L299" i="1"/>
  <c r="M299" i="1"/>
  <c r="J295" i="1"/>
  <c r="K295" i="1"/>
  <c r="L295" i="1"/>
  <c r="M295" i="1"/>
  <c r="J296" i="1"/>
  <c r="K296" i="1"/>
  <c r="L296" i="1"/>
  <c r="M296" i="1"/>
  <c r="J300" i="1"/>
  <c r="K300" i="1"/>
  <c r="L300" i="1"/>
  <c r="M300" i="1"/>
  <c r="J302" i="1"/>
  <c r="K302" i="1"/>
  <c r="L302" i="1"/>
  <c r="M302" i="1"/>
  <c r="J310" i="1"/>
  <c r="K310" i="1"/>
  <c r="L310" i="1"/>
  <c r="M310" i="1"/>
  <c r="J313" i="1"/>
  <c r="K313" i="1"/>
  <c r="L313" i="1"/>
  <c r="M313" i="1"/>
  <c r="J314" i="1"/>
  <c r="K314" i="1"/>
  <c r="L314" i="1"/>
  <c r="M314" i="1"/>
  <c r="J315" i="1"/>
  <c r="K315" i="1"/>
  <c r="L315" i="1"/>
  <c r="M315" i="1"/>
  <c r="J316" i="1"/>
  <c r="K316" i="1"/>
  <c r="L316" i="1"/>
  <c r="M316" i="1"/>
  <c r="J317" i="1"/>
  <c r="K317" i="1"/>
  <c r="L317" i="1"/>
  <c r="M317" i="1"/>
  <c r="J318" i="1"/>
  <c r="K318" i="1"/>
  <c r="L318" i="1"/>
  <c r="M318" i="1"/>
  <c r="J319" i="1"/>
  <c r="K319" i="1"/>
  <c r="L319" i="1"/>
  <c r="M319" i="1"/>
  <c r="J327" i="1"/>
  <c r="K327" i="1"/>
  <c r="L327" i="1"/>
  <c r="M327" i="1"/>
  <c r="J330" i="1"/>
  <c r="K330" i="1"/>
  <c r="L330" i="1"/>
  <c r="M330" i="1"/>
  <c r="J329" i="1"/>
  <c r="K329" i="1"/>
  <c r="L329" i="1"/>
  <c r="M329" i="1"/>
  <c r="J331" i="1"/>
  <c r="K331" i="1"/>
  <c r="L331" i="1"/>
  <c r="M331" i="1"/>
  <c r="J332" i="1"/>
  <c r="K332" i="1"/>
  <c r="L332" i="1"/>
  <c r="M332" i="1"/>
  <c r="J333" i="1"/>
  <c r="K333" i="1"/>
  <c r="L333" i="1"/>
  <c r="M333" i="1"/>
  <c r="J334" i="1"/>
  <c r="K334" i="1"/>
  <c r="L334" i="1"/>
  <c r="M334" i="1"/>
  <c r="J335" i="1"/>
  <c r="K335" i="1"/>
  <c r="L335" i="1"/>
  <c r="M335" i="1"/>
  <c r="J336" i="1"/>
  <c r="K336" i="1"/>
  <c r="L336" i="1"/>
  <c r="M336" i="1"/>
  <c r="J337" i="1"/>
  <c r="K337" i="1"/>
  <c r="L337" i="1"/>
  <c r="M337" i="1"/>
  <c r="J338" i="1"/>
  <c r="K338" i="1"/>
  <c r="L338" i="1"/>
  <c r="M338" i="1"/>
  <c r="J339" i="1"/>
  <c r="K339" i="1"/>
  <c r="L339" i="1"/>
  <c r="M339" i="1"/>
  <c r="J340" i="1"/>
  <c r="K340" i="1"/>
  <c r="L340" i="1"/>
  <c r="M340" i="1"/>
  <c r="J341" i="1"/>
  <c r="K341" i="1"/>
  <c r="L341" i="1"/>
  <c r="M341" i="1"/>
  <c r="J342" i="1"/>
  <c r="K342" i="1"/>
  <c r="L342" i="1"/>
  <c r="M342" i="1"/>
  <c r="J352" i="1"/>
  <c r="K352" i="1"/>
  <c r="L352" i="1"/>
  <c r="M352" i="1"/>
  <c r="J353" i="1"/>
  <c r="K353" i="1"/>
  <c r="L353" i="1"/>
  <c r="M353" i="1"/>
  <c r="J355" i="1"/>
  <c r="K355" i="1"/>
  <c r="L355" i="1"/>
  <c r="M355" i="1"/>
  <c r="J357" i="1"/>
  <c r="K357" i="1"/>
  <c r="L357" i="1"/>
  <c r="M357" i="1"/>
  <c r="J359" i="1"/>
  <c r="K359" i="1"/>
  <c r="L359" i="1"/>
  <c r="M359" i="1"/>
  <c r="J361" i="1"/>
  <c r="K361" i="1"/>
  <c r="L361" i="1"/>
  <c r="M361" i="1"/>
  <c r="J362" i="1"/>
  <c r="K362" i="1"/>
  <c r="L362" i="1"/>
  <c r="M362" i="1"/>
  <c r="J363" i="1"/>
  <c r="K363" i="1"/>
  <c r="L363" i="1"/>
  <c r="M363" i="1"/>
  <c r="J364" i="1"/>
  <c r="K364" i="1"/>
  <c r="L364" i="1"/>
  <c r="M364" i="1"/>
  <c r="J365" i="1"/>
  <c r="K365" i="1"/>
  <c r="L365" i="1"/>
  <c r="M365" i="1"/>
  <c r="J367" i="1"/>
  <c r="K367" i="1"/>
  <c r="L367" i="1"/>
  <c r="M367" i="1"/>
  <c r="J368" i="1"/>
  <c r="K368" i="1"/>
  <c r="L368" i="1"/>
  <c r="M368" i="1"/>
  <c r="J369" i="1"/>
  <c r="K369" i="1"/>
  <c r="L369" i="1"/>
  <c r="M369" i="1"/>
  <c r="J370" i="1"/>
  <c r="K370" i="1"/>
  <c r="L370" i="1"/>
  <c r="M370" i="1"/>
  <c r="J371" i="1"/>
  <c r="K371" i="1"/>
  <c r="L371" i="1"/>
  <c r="M371" i="1"/>
  <c r="J372" i="1"/>
  <c r="K372" i="1"/>
  <c r="L372" i="1"/>
  <c r="M372" i="1"/>
  <c r="J373" i="1"/>
  <c r="K373" i="1"/>
  <c r="L373" i="1"/>
  <c r="M373" i="1"/>
  <c r="J375" i="1"/>
  <c r="K375" i="1"/>
  <c r="L375" i="1"/>
  <c r="M375" i="1"/>
  <c r="J377" i="1"/>
  <c r="K377" i="1"/>
  <c r="L377" i="1"/>
  <c r="M377" i="1"/>
  <c r="J380" i="1"/>
  <c r="K380" i="1"/>
  <c r="L380" i="1"/>
  <c r="M380" i="1"/>
  <c r="J379" i="1"/>
  <c r="K379" i="1"/>
  <c r="L379" i="1"/>
  <c r="M379" i="1"/>
  <c r="J381" i="1"/>
  <c r="K381" i="1"/>
  <c r="L381" i="1"/>
  <c r="M381" i="1"/>
  <c r="J382" i="1"/>
  <c r="K382" i="1"/>
  <c r="L382" i="1"/>
  <c r="M382" i="1"/>
  <c r="J388" i="1"/>
  <c r="K388" i="1"/>
  <c r="L388" i="1"/>
  <c r="M388" i="1"/>
  <c r="J389" i="1"/>
  <c r="K389" i="1"/>
  <c r="L389" i="1"/>
  <c r="M389" i="1"/>
  <c r="J390" i="1"/>
  <c r="K390" i="1"/>
  <c r="L390" i="1"/>
  <c r="M390" i="1"/>
  <c r="J391" i="1"/>
  <c r="K391" i="1"/>
  <c r="L391" i="1"/>
  <c r="M391" i="1"/>
  <c r="J392" i="1"/>
  <c r="K392" i="1"/>
  <c r="L392" i="1"/>
  <c r="M392" i="1"/>
  <c r="J393" i="1"/>
  <c r="K393" i="1"/>
  <c r="L393" i="1"/>
  <c r="M393" i="1"/>
  <c r="J394" i="1"/>
  <c r="K394" i="1"/>
  <c r="L394" i="1"/>
  <c r="M394" i="1"/>
  <c r="J395" i="1"/>
  <c r="K395" i="1"/>
  <c r="L395" i="1"/>
  <c r="M395" i="1"/>
  <c r="J397" i="1"/>
  <c r="K397" i="1"/>
  <c r="L397" i="1"/>
  <c r="M397" i="1"/>
  <c r="J398" i="1"/>
  <c r="K398" i="1"/>
  <c r="L398" i="1"/>
  <c r="M398" i="1"/>
  <c r="J399" i="1"/>
  <c r="K399" i="1"/>
  <c r="L399" i="1"/>
  <c r="M399" i="1"/>
  <c r="J400" i="1"/>
  <c r="K400" i="1"/>
  <c r="L400" i="1"/>
  <c r="M400" i="1"/>
  <c r="J403" i="1"/>
  <c r="K403" i="1"/>
  <c r="L403" i="1"/>
  <c r="M403" i="1"/>
  <c r="J404" i="1"/>
  <c r="K404" i="1"/>
  <c r="L404" i="1"/>
  <c r="M404" i="1"/>
  <c r="J405" i="1"/>
  <c r="K405" i="1"/>
  <c r="L405" i="1"/>
  <c r="M405" i="1"/>
  <c r="J410" i="1"/>
  <c r="K410" i="1"/>
  <c r="L410" i="1"/>
  <c r="M410" i="1"/>
  <c r="J411" i="1"/>
  <c r="K411" i="1"/>
  <c r="L411" i="1"/>
  <c r="M411" i="1"/>
  <c r="J412" i="1"/>
  <c r="K412" i="1"/>
  <c r="L412" i="1"/>
  <c r="M412" i="1"/>
  <c r="J413" i="1"/>
  <c r="K413" i="1"/>
  <c r="L413" i="1"/>
  <c r="M413" i="1"/>
  <c r="J414" i="1"/>
  <c r="K414" i="1"/>
  <c r="L414" i="1"/>
  <c r="M414" i="1"/>
  <c r="J415" i="1"/>
  <c r="K415" i="1"/>
  <c r="L415" i="1"/>
  <c r="M415" i="1"/>
  <c r="J416" i="1"/>
  <c r="K416" i="1"/>
  <c r="L416" i="1"/>
  <c r="M416" i="1"/>
  <c r="J417" i="1"/>
  <c r="K417" i="1"/>
  <c r="L417" i="1"/>
  <c r="M417" i="1"/>
  <c r="J418" i="1"/>
  <c r="K418" i="1"/>
  <c r="L418" i="1"/>
  <c r="M418" i="1"/>
  <c r="J419" i="1"/>
  <c r="K419" i="1"/>
  <c r="L419" i="1"/>
  <c r="M419" i="1"/>
  <c r="J420" i="1"/>
  <c r="K420" i="1"/>
  <c r="L420" i="1"/>
  <c r="M420" i="1"/>
  <c r="J421" i="1"/>
  <c r="K421" i="1"/>
  <c r="L421" i="1"/>
  <c r="M421" i="1"/>
  <c r="J426" i="1"/>
  <c r="K426" i="1"/>
  <c r="L426" i="1"/>
  <c r="M426" i="1"/>
  <c r="J427" i="1"/>
  <c r="K427" i="1"/>
  <c r="L427" i="1"/>
  <c r="M427" i="1"/>
  <c r="J428" i="1"/>
  <c r="K428" i="1"/>
  <c r="L428" i="1"/>
  <c r="M428" i="1"/>
  <c r="J440" i="1"/>
  <c r="K440" i="1"/>
  <c r="L440" i="1"/>
  <c r="M440" i="1"/>
  <c r="J441" i="1"/>
  <c r="K441" i="1"/>
  <c r="L441" i="1"/>
  <c r="M441" i="1"/>
  <c r="J442" i="1"/>
  <c r="K442" i="1"/>
  <c r="L442" i="1"/>
  <c r="M442" i="1"/>
  <c r="J444" i="1"/>
  <c r="K444" i="1"/>
  <c r="L444" i="1"/>
  <c r="M444" i="1"/>
  <c r="J445" i="1"/>
  <c r="K445" i="1"/>
  <c r="L445" i="1"/>
  <c r="M445" i="1"/>
  <c r="J446" i="1"/>
  <c r="K446" i="1"/>
  <c r="L446" i="1"/>
  <c r="M446" i="1"/>
  <c r="J447" i="1"/>
  <c r="K447" i="1"/>
  <c r="L447" i="1"/>
  <c r="M447" i="1"/>
  <c r="J448" i="1"/>
  <c r="K448" i="1"/>
  <c r="L448" i="1"/>
  <c r="M448" i="1"/>
  <c r="J449" i="1"/>
  <c r="K449" i="1"/>
  <c r="L449" i="1"/>
  <c r="M449" i="1"/>
  <c r="J450" i="1"/>
  <c r="K450" i="1"/>
  <c r="L450" i="1"/>
  <c r="M450" i="1"/>
  <c r="J454" i="1"/>
  <c r="K454" i="1"/>
  <c r="L454" i="1"/>
  <c r="M454" i="1"/>
  <c r="J455" i="1"/>
  <c r="K455" i="1"/>
  <c r="L455" i="1"/>
  <c r="M455" i="1"/>
  <c r="J457" i="1"/>
  <c r="K457" i="1"/>
  <c r="L457" i="1"/>
  <c r="M457" i="1"/>
  <c r="J458" i="1"/>
  <c r="K458" i="1"/>
  <c r="L458" i="1"/>
  <c r="M458" i="1"/>
  <c r="J459" i="1"/>
  <c r="K459" i="1"/>
  <c r="L459" i="1"/>
  <c r="M459" i="1"/>
  <c r="J460" i="1"/>
  <c r="K460" i="1"/>
  <c r="L460" i="1"/>
  <c r="M460" i="1"/>
  <c r="J463" i="1"/>
  <c r="K463" i="1"/>
  <c r="L463" i="1"/>
  <c r="M463" i="1"/>
  <c r="J464" i="1"/>
  <c r="K464" i="1"/>
  <c r="L464" i="1"/>
  <c r="M464" i="1"/>
  <c r="J466" i="1"/>
  <c r="K466" i="1"/>
  <c r="L466" i="1"/>
  <c r="M466" i="1"/>
  <c r="J467" i="1"/>
  <c r="K467" i="1"/>
  <c r="L467" i="1"/>
  <c r="M467" i="1"/>
  <c r="J468" i="1"/>
  <c r="K468" i="1"/>
  <c r="L468" i="1"/>
  <c r="M468" i="1"/>
  <c r="J469" i="1"/>
  <c r="K469" i="1"/>
  <c r="L469" i="1"/>
  <c r="M469" i="1"/>
  <c r="J471" i="1"/>
  <c r="K471" i="1"/>
  <c r="L471" i="1"/>
  <c r="M471" i="1"/>
  <c r="J472" i="1"/>
  <c r="K472" i="1"/>
  <c r="L472" i="1"/>
  <c r="M472" i="1"/>
  <c r="J473" i="1"/>
  <c r="K473" i="1"/>
  <c r="L473" i="1"/>
  <c r="M473" i="1"/>
  <c r="J475" i="1"/>
  <c r="K475" i="1"/>
  <c r="L475" i="1"/>
  <c r="M475" i="1"/>
  <c r="J478" i="1"/>
  <c r="K478" i="1"/>
  <c r="L478" i="1"/>
  <c r="M478" i="1"/>
  <c r="J484" i="1"/>
  <c r="K484" i="1"/>
  <c r="L484" i="1"/>
  <c r="M484" i="1"/>
  <c r="J485" i="1"/>
  <c r="K485" i="1"/>
  <c r="L485" i="1"/>
  <c r="M485" i="1"/>
  <c r="J488" i="1"/>
  <c r="K488" i="1"/>
  <c r="L488" i="1"/>
  <c r="M488" i="1"/>
  <c r="J489" i="1"/>
  <c r="K489" i="1"/>
  <c r="L489" i="1"/>
  <c r="M489" i="1"/>
  <c r="J490" i="1"/>
  <c r="K490" i="1"/>
  <c r="L490" i="1"/>
  <c r="M490" i="1"/>
  <c r="J493" i="1"/>
  <c r="K493" i="1"/>
  <c r="L493" i="1"/>
  <c r="M493" i="1"/>
  <c r="J494" i="1"/>
  <c r="K494" i="1"/>
  <c r="L494" i="1"/>
  <c r="M494" i="1"/>
  <c r="J495" i="1"/>
  <c r="K495" i="1"/>
  <c r="L495" i="1"/>
  <c r="M495" i="1"/>
  <c r="J496" i="1"/>
  <c r="K496" i="1"/>
  <c r="L496" i="1"/>
  <c r="M496" i="1"/>
  <c r="J497" i="1"/>
  <c r="K497" i="1"/>
  <c r="L497" i="1"/>
  <c r="M497" i="1"/>
  <c r="J498" i="1"/>
  <c r="K498" i="1"/>
  <c r="L498" i="1"/>
  <c r="M498" i="1"/>
  <c r="J502" i="1"/>
  <c r="K502" i="1"/>
  <c r="L502" i="1"/>
  <c r="M502" i="1"/>
  <c r="J503" i="1"/>
  <c r="K503" i="1"/>
  <c r="L503" i="1"/>
  <c r="M503" i="1"/>
  <c r="J505" i="1"/>
  <c r="K505" i="1"/>
  <c r="L505" i="1"/>
  <c r="M505" i="1"/>
  <c r="J504" i="1"/>
  <c r="K504" i="1"/>
  <c r="L504" i="1"/>
  <c r="M504" i="1"/>
  <c r="J506" i="1"/>
  <c r="K506" i="1"/>
  <c r="L506" i="1"/>
  <c r="M506" i="1"/>
  <c r="J507" i="1"/>
  <c r="K507" i="1"/>
  <c r="L507" i="1"/>
  <c r="M507" i="1"/>
  <c r="J509" i="1"/>
  <c r="K509" i="1"/>
  <c r="L509" i="1"/>
  <c r="M509" i="1"/>
  <c r="J508" i="1"/>
  <c r="K508" i="1"/>
  <c r="L508" i="1"/>
  <c r="M508" i="1"/>
  <c r="J510" i="1"/>
  <c r="K510" i="1"/>
  <c r="L510" i="1"/>
  <c r="M510" i="1"/>
  <c r="J513" i="1"/>
  <c r="K513" i="1"/>
  <c r="L513" i="1"/>
  <c r="M513" i="1"/>
  <c r="J514" i="1"/>
  <c r="K514" i="1"/>
  <c r="L514" i="1"/>
  <c r="M514" i="1"/>
  <c r="J515" i="1"/>
  <c r="K515" i="1"/>
  <c r="L515" i="1"/>
  <c r="M515" i="1"/>
  <c r="J516" i="1"/>
  <c r="K516" i="1"/>
  <c r="L516" i="1"/>
  <c r="M516" i="1"/>
  <c r="J518" i="1"/>
  <c r="K518" i="1"/>
  <c r="L518" i="1"/>
  <c r="M518" i="1"/>
  <c r="J519" i="1"/>
  <c r="K519" i="1"/>
  <c r="L519" i="1"/>
  <c r="M519" i="1"/>
  <c r="J520" i="1"/>
  <c r="K520" i="1"/>
  <c r="L520" i="1"/>
  <c r="M520" i="1"/>
  <c r="J521" i="1"/>
  <c r="K521" i="1"/>
  <c r="L521" i="1"/>
  <c r="M521" i="1"/>
  <c r="J522" i="1"/>
  <c r="K522" i="1"/>
  <c r="L522" i="1"/>
  <c r="M522" i="1"/>
  <c r="J523" i="1"/>
  <c r="K523" i="1"/>
  <c r="L523" i="1"/>
  <c r="M523" i="1"/>
  <c r="J524" i="1"/>
  <c r="K524" i="1"/>
  <c r="L524" i="1"/>
  <c r="M524" i="1"/>
  <c r="J525" i="1"/>
  <c r="K525" i="1"/>
  <c r="L525" i="1"/>
  <c r="M525" i="1"/>
  <c r="J526" i="1"/>
  <c r="K526" i="1"/>
  <c r="L526" i="1"/>
  <c r="M526" i="1"/>
  <c r="J527" i="1"/>
  <c r="K527" i="1"/>
  <c r="L527" i="1"/>
  <c r="M527" i="1"/>
  <c r="J528" i="1"/>
  <c r="K528" i="1"/>
  <c r="L528" i="1"/>
  <c r="M528" i="1"/>
  <c r="J529" i="1"/>
  <c r="K529" i="1"/>
  <c r="L529" i="1"/>
  <c r="M529" i="1"/>
  <c r="J530" i="1"/>
  <c r="K530" i="1"/>
  <c r="L530" i="1"/>
  <c r="M530" i="1"/>
  <c r="J532" i="1"/>
  <c r="K532" i="1"/>
  <c r="L532" i="1"/>
  <c r="M532" i="1"/>
  <c r="J533" i="1"/>
  <c r="K533" i="1"/>
  <c r="L533" i="1"/>
  <c r="M533" i="1"/>
  <c r="J534" i="1"/>
  <c r="K534" i="1"/>
  <c r="L534" i="1"/>
  <c r="M534" i="1"/>
  <c r="J535" i="1"/>
  <c r="K535" i="1"/>
  <c r="L535" i="1"/>
  <c r="M535" i="1"/>
  <c r="J536" i="1"/>
  <c r="K536" i="1"/>
  <c r="L536" i="1"/>
  <c r="M536" i="1"/>
  <c r="J537" i="1"/>
  <c r="K537" i="1"/>
  <c r="L537" i="1"/>
  <c r="M537" i="1"/>
  <c r="J538" i="1"/>
  <c r="K538" i="1"/>
  <c r="L538" i="1"/>
  <c r="M538" i="1"/>
  <c r="J539" i="1"/>
  <c r="K539" i="1"/>
  <c r="L539" i="1"/>
  <c r="M539" i="1"/>
  <c r="J540" i="1"/>
  <c r="K540" i="1"/>
  <c r="L540" i="1"/>
  <c r="M540" i="1"/>
  <c r="J541" i="1"/>
  <c r="K541" i="1"/>
  <c r="L541" i="1"/>
  <c r="M541" i="1"/>
  <c r="J542" i="1"/>
  <c r="K542" i="1"/>
  <c r="L542" i="1"/>
  <c r="M542" i="1"/>
  <c r="J544" i="1"/>
  <c r="K544" i="1"/>
  <c r="L544" i="1"/>
  <c r="M544" i="1"/>
  <c r="J545" i="1"/>
  <c r="K545" i="1"/>
  <c r="L545" i="1"/>
  <c r="M545" i="1"/>
  <c r="J546" i="1"/>
  <c r="K546" i="1"/>
  <c r="L546" i="1"/>
  <c r="M546" i="1"/>
  <c r="J547" i="1"/>
  <c r="K547" i="1"/>
  <c r="L547" i="1"/>
  <c r="M547" i="1"/>
  <c r="J548" i="1"/>
  <c r="K548" i="1"/>
  <c r="L548" i="1"/>
  <c r="M548" i="1"/>
  <c r="J549" i="1"/>
  <c r="K549" i="1"/>
  <c r="L549" i="1"/>
  <c r="M549" i="1"/>
  <c r="J551" i="1"/>
  <c r="K551" i="1"/>
  <c r="L551" i="1"/>
  <c r="M551" i="1"/>
  <c r="J557" i="1"/>
  <c r="K557" i="1"/>
  <c r="L557" i="1"/>
  <c r="M557" i="1"/>
  <c r="J558" i="1"/>
  <c r="K558" i="1"/>
  <c r="L558" i="1"/>
  <c r="M558" i="1"/>
  <c r="J559" i="1"/>
  <c r="K559" i="1"/>
  <c r="L559" i="1"/>
  <c r="M559" i="1"/>
  <c r="J561" i="1"/>
  <c r="K561" i="1"/>
  <c r="L561" i="1"/>
  <c r="M561" i="1"/>
  <c r="J563" i="1"/>
  <c r="K563" i="1"/>
  <c r="L563" i="1"/>
  <c r="M563" i="1"/>
  <c r="J566" i="1"/>
  <c r="K566" i="1"/>
  <c r="L566" i="1"/>
  <c r="M566" i="1"/>
  <c r="J567" i="1"/>
  <c r="K567" i="1"/>
  <c r="L567" i="1"/>
  <c r="M567" i="1"/>
  <c r="J568" i="1"/>
  <c r="K568" i="1"/>
  <c r="L568" i="1"/>
  <c r="M568" i="1"/>
  <c r="J573" i="1"/>
  <c r="K573" i="1"/>
  <c r="L573" i="1"/>
  <c r="M573" i="1"/>
  <c r="J574" i="1"/>
  <c r="K574" i="1"/>
  <c r="L574" i="1"/>
  <c r="M574" i="1"/>
  <c r="J575" i="1"/>
  <c r="K575" i="1"/>
  <c r="L575" i="1"/>
  <c r="M575" i="1"/>
  <c r="J576" i="1"/>
  <c r="K576" i="1"/>
  <c r="L576" i="1"/>
  <c r="M576" i="1"/>
  <c r="J578" i="1"/>
  <c r="K578" i="1"/>
  <c r="L578" i="1"/>
  <c r="M578" i="1"/>
  <c r="J581" i="1"/>
  <c r="K581" i="1"/>
  <c r="L581" i="1"/>
  <c r="M581" i="1"/>
  <c r="J582" i="1"/>
  <c r="K582" i="1"/>
  <c r="L582" i="1"/>
  <c r="M582" i="1"/>
  <c r="J583" i="1"/>
  <c r="K583" i="1"/>
  <c r="L583" i="1"/>
  <c r="M583" i="1"/>
  <c r="J585" i="1"/>
  <c r="K585" i="1"/>
  <c r="L585" i="1"/>
  <c r="M585" i="1"/>
  <c r="J586" i="1"/>
  <c r="K586" i="1"/>
  <c r="L586" i="1"/>
  <c r="M586" i="1"/>
  <c r="J592" i="1"/>
  <c r="K592" i="1"/>
  <c r="L592" i="1"/>
  <c r="M592" i="1"/>
  <c r="J593" i="1"/>
  <c r="K593" i="1"/>
  <c r="L593" i="1"/>
  <c r="M593" i="1"/>
  <c r="J594" i="1"/>
  <c r="K594" i="1"/>
  <c r="L594" i="1"/>
  <c r="M594" i="1"/>
  <c r="J588" i="1"/>
  <c r="K588" i="1"/>
  <c r="L588" i="1"/>
  <c r="M588" i="1"/>
  <c r="J589" i="1"/>
  <c r="K589" i="1"/>
  <c r="L589" i="1"/>
  <c r="M589" i="1"/>
  <c r="J590" i="1"/>
  <c r="K590" i="1"/>
  <c r="L590" i="1"/>
  <c r="M590" i="1"/>
  <c r="J595" i="1"/>
  <c r="K595" i="1"/>
  <c r="L595" i="1"/>
  <c r="M595" i="1"/>
  <c r="J596" i="1"/>
  <c r="K596" i="1"/>
  <c r="L596" i="1"/>
  <c r="M596" i="1"/>
  <c r="J599" i="1"/>
  <c r="K599" i="1"/>
  <c r="L599" i="1"/>
  <c r="M599" i="1"/>
  <c r="J600" i="1"/>
  <c r="K600" i="1"/>
  <c r="L600" i="1"/>
  <c r="M600" i="1"/>
  <c r="J601" i="1"/>
  <c r="K601" i="1"/>
  <c r="L601" i="1"/>
  <c r="M601" i="1"/>
  <c r="J602" i="1"/>
  <c r="K602" i="1"/>
  <c r="L602" i="1"/>
  <c r="M602" i="1"/>
  <c r="J603" i="1"/>
  <c r="K603" i="1"/>
  <c r="L603" i="1"/>
  <c r="M603" i="1"/>
  <c r="J605" i="1"/>
  <c r="K605" i="1"/>
  <c r="L605" i="1"/>
  <c r="M605" i="1"/>
  <c r="J606" i="1"/>
  <c r="K606" i="1"/>
  <c r="L606" i="1"/>
  <c r="M606" i="1"/>
  <c r="J607" i="1"/>
  <c r="K607" i="1"/>
  <c r="L607" i="1"/>
  <c r="M607" i="1"/>
  <c r="J608" i="1"/>
  <c r="K608" i="1"/>
  <c r="L608" i="1"/>
  <c r="M608" i="1"/>
  <c r="J609" i="1"/>
  <c r="K609" i="1"/>
  <c r="L609" i="1"/>
  <c r="M609" i="1"/>
  <c r="J610" i="1"/>
  <c r="K610" i="1"/>
  <c r="L610" i="1"/>
  <c r="M610" i="1"/>
  <c r="J612" i="1"/>
  <c r="K612" i="1"/>
  <c r="L612" i="1"/>
  <c r="M612" i="1"/>
  <c r="J613" i="1"/>
  <c r="K613" i="1"/>
  <c r="L613" i="1"/>
  <c r="M613" i="1"/>
  <c r="J614" i="1"/>
  <c r="K614" i="1"/>
  <c r="L614" i="1"/>
  <c r="M614" i="1"/>
  <c r="J615" i="1"/>
  <c r="K615" i="1"/>
  <c r="L615" i="1"/>
  <c r="M615" i="1"/>
  <c r="J616" i="1"/>
  <c r="K616" i="1"/>
  <c r="L616" i="1"/>
  <c r="M616" i="1"/>
  <c r="J618" i="1"/>
  <c r="K618" i="1"/>
  <c r="L618" i="1"/>
  <c r="M618" i="1"/>
  <c r="J620" i="1"/>
  <c r="K620" i="1"/>
  <c r="L620" i="1"/>
  <c r="M620" i="1"/>
  <c r="J621" i="1"/>
  <c r="K621" i="1"/>
  <c r="L621" i="1"/>
  <c r="M621" i="1"/>
  <c r="J623" i="1"/>
  <c r="K623" i="1"/>
  <c r="L623" i="1"/>
  <c r="M623" i="1"/>
  <c r="J624" i="1"/>
  <c r="K624" i="1"/>
  <c r="L624" i="1"/>
  <c r="M624" i="1"/>
  <c r="J625" i="1"/>
  <c r="K625" i="1"/>
  <c r="L625" i="1"/>
  <c r="M625" i="1"/>
  <c r="J626" i="1"/>
  <c r="K626" i="1"/>
  <c r="L626" i="1"/>
  <c r="M626" i="1"/>
  <c r="J631" i="1"/>
  <c r="K631" i="1"/>
  <c r="L631" i="1"/>
  <c r="M631" i="1"/>
  <c r="J628" i="1"/>
  <c r="K628" i="1"/>
  <c r="L628" i="1"/>
  <c r="M628" i="1"/>
  <c r="J629" i="1"/>
  <c r="K629" i="1"/>
  <c r="L629" i="1"/>
  <c r="M629" i="1"/>
  <c r="J633" i="1"/>
  <c r="K633" i="1"/>
  <c r="L633" i="1"/>
  <c r="M633" i="1"/>
  <c r="J634" i="1"/>
  <c r="K634" i="1"/>
  <c r="L634" i="1"/>
  <c r="M634" i="1"/>
  <c r="J635" i="1"/>
  <c r="K635" i="1"/>
  <c r="L635" i="1"/>
  <c r="M635" i="1"/>
  <c r="J636" i="1"/>
  <c r="K636" i="1"/>
  <c r="L636" i="1"/>
  <c r="M636" i="1"/>
  <c r="J637" i="1"/>
  <c r="K637" i="1"/>
  <c r="L637" i="1"/>
  <c r="M637" i="1"/>
  <c r="J638" i="1"/>
  <c r="K638" i="1"/>
  <c r="L638" i="1"/>
  <c r="M638" i="1"/>
  <c r="J639" i="1"/>
  <c r="K639" i="1"/>
  <c r="L639" i="1"/>
  <c r="M639" i="1"/>
  <c r="J640" i="1"/>
  <c r="K640" i="1"/>
  <c r="L640" i="1"/>
  <c r="M640" i="1"/>
  <c r="J641" i="1"/>
  <c r="K641" i="1"/>
  <c r="L641" i="1"/>
  <c r="M641" i="1"/>
  <c r="J643" i="1"/>
  <c r="K643" i="1"/>
  <c r="L643" i="1"/>
  <c r="M643" i="1"/>
  <c r="J644" i="1"/>
  <c r="K644" i="1"/>
  <c r="L644" i="1"/>
  <c r="M644" i="1"/>
  <c r="J645" i="1"/>
  <c r="K645" i="1"/>
  <c r="L645" i="1"/>
  <c r="M645" i="1"/>
  <c r="J649" i="1"/>
  <c r="K649" i="1"/>
  <c r="L649" i="1"/>
  <c r="M649" i="1"/>
  <c r="J652" i="1"/>
  <c r="K652" i="1"/>
  <c r="L652" i="1"/>
  <c r="M652" i="1"/>
  <c r="J653" i="1"/>
  <c r="K653" i="1"/>
  <c r="L653" i="1"/>
  <c r="M653" i="1"/>
  <c r="J658" i="1"/>
  <c r="K658" i="1"/>
  <c r="L658" i="1"/>
  <c r="M658" i="1"/>
  <c r="J657" i="1"/>
  <c r="K657" i="1"/>
  <c r="L657" i="1"/>
  <c r="M657" i="1"/>
  <c r="J659" i="1"/>
  <c r="K659" i="1"/>
  <c r="L659" i="1"/>
  <c r="M659" i="1"/>
  <c r="J661" i="1"/>
  <c r="K661" i="1"/>
  <c r="L661" i="1"/>
  <c r="M661" i="1"/>
  <c r="J662" i="1"/>
  <c r="K662" i="1"/>
  <c r="L662" i="1"/>
  <c r="M662" i="1"/>
  <c r="J663" i="1"/>
  <c r="K663" i="1"/>
  <c r="L663" i="1"/>
  <c r="M663" i="1"/>
  <c r="J664" i="1"/>
  <c r="K664" i="1"/>
  <c r="L664" i="1"/>
  <c r="M664" i="1"/>
  <c r="J665" i="1"/>
  <c r="K665" i="1"/>
  <c r="L665" i="1"/>
  <c r="M665" i="1"/>
  <c r="J667" i="1"/>
  <c r="K667" i="1"/>
  <c r="L667" i="1"/>
  <c r="M667" i="1"/>
  <c r="J668" i="1"/>
  <c r="K668" i="1"/>
  <c r="L668" i="1"/>
  <c r="M668" i="1"/>
  <c r="J669" i="1"/>
  <c r="K669" i="1"/>
  <c r="L669" i="1"/>
  <c r="M669" i="1"/>
  <c r="J671" i="1"/>
  <c r="K671" i="1"/>
  <c r="L671" i="1"/>
  <c r="M671" i="1"/>
  <c r="J672" i="1"/>
  <c r="K672" i="1"/>
  <c r="L672" i="1"/>
  <c r="M672" i="1"/>
  <c r="J673" i="1"/>
  <c r="K673" i="1"/>
  <c r="L673" i="1"/>
  <c r="M673" i="1"/>
  <c r="J674" i="1"/>
  <c r="K674" i="1"/>
  <c r="L674" i="1"/>
  <c r="M674" i="1"/>
  <c r="J675" i="1"/>
  <c r="K675" i="1"/>
  <c r="L675" i="1"/>
  <c r="M675" i="1"/>
  <c r="J676" i="1"/>
  <c r="K676" i="1"/>
  <c r="L676" i="1"/>
  <c r="M676" i="1"/>
  <c r="J680" i="1"/>
  <c r="K680" i="1"/>
  <c r="L680" i="1"/>
  <c r="M680" i="1"/>
  <c r="J681" i="1"/>
  <c r="K681" i="1"/>
  <c r="L681" i="1"/>
  <c r="M681" i="1"/>
  <c r="J678" i="1"/>
  <c r="K678" i="1"/>
  <c r="L678" i="1"/>
  <c r="M678" i="1"/>
  <c r="J684" i="1"/>
  <c r="K684" i="1"/>
  <c r="L684" i="1"/>
  <c r="M684" i="1"/>
  <c r="J687" i="1"/>
  <c r="K687" i="1"/>
  <c r="L687" i="1"/>
  <c r="M687" i="1"/>
  <c r="J688" i="1"/>
  <c r="K688" i="1"/>
  <c r="L688" i="1"/>
  <c r="M688" i="1"/>
  <c r="J685" i="1"/>
  <c r="K685" i="1"/>
  <c r="L685" i="1"/>
  <c r="M685" i="1"/>
  <c r="J690" i="1"/>
  <c r="K690" i="1"/>
  <c r="L690" i="1"/>
  <c r="M690" i="1"/>
  <c r="J692" i="1"/>
  <c r="K692" i="1"/>
  <c r="L692" i="1"/>
  <c r="M692" i="1"/>
  <c r="J693" i="1"/>
  <c r="K693" i="1"/>
  <c r="L693" i="1"/>
  <c r="M693" i="1"/>
  <c r="J76" i="1"/>
  <c r="K76" i="1"/>
  <c r="L76" i="1"/>
  <c r="M76" i="1"/>
  <c r="J77" i="1"/>
  <c r="K77" i="1"/>
  <c r="L77" i="1"/>
  <c r="M77" i="1"/>
  <c r="J83" i="1"/>
  <c r="K83" i="1"/>
  <c r="L83" i="1"/>
  <c r="M83" i="1"/>
  <c r="J180" i="1"/>
  <c r="K180" i="1"/>
  <c r="L180" i="1"/>
  <c r="M180" i="1"/>
  <c r="J235" i="1"/>
  <c r="K235" i="1"/>
  <c r="L235" i="1"/>
  <c r="M235" i="1"/>
  <c r="J254" i="1"/>
  <c r="K254" i="1"/>
  <c r="L254" i="1"/>
  <c r="M254" i="1"/>
  <c r="J255" i="1"/>
  <c r="K255" i="1"/>
  <c r="L255" i="1"/>
  <c r="M255" i="1"/>
  <c r="J256" i="1"/>
  <c r="K256" i="1"/>
  <c r="L256" i="1"/>
  <c r="M256" i="1"/>
  <c r="J257" i="1"/>
  <c r="K257" i="1"/>
  <c r="L257" i="1"/>
  <c r="M257" i="1"/>
  <c r="J258" i="1"/>
  <c r="K258" i="1"/>
  <c r="L258" i="1"/>
  <c r="M258" i="1"/>
  <c r="J259" i="1"/>
  <c r="K259" i="1"/>
  <c r="L259" i="1"/>
  <c r="M259" i="1"/>
  <c r="J274" i="1"/>
  <c r="K274" i="1"/>
  <c r="L274" i="1"/>
  <c r="M274" i="1"/>
  <c r="J275" i="1"/>
  <c r="K275" i="1"/>
  <c r="L275" i="1"/>
  <c r="M275" i="1"/>
  <c r="J276" i="1"/>
  <c r="K276" i="1"/>
  <c r="L276" i="1"/>
  <c r="M276" i="1"/>
  <c r="J320" i="1"/>
  <c r="K320" i="1"/>
  <c r="L320" i="1"/>
  <c r="M320" i="1"/>
  <c r="J321" i="1"/>
  <c r="K321" i="1"/>
  <c r="L321" i="1"/>
  <c r="M321" i="1"/>
  <c r="J322" i="1"/>
  <c r="K322" i="1"/>
  <c r="L322" i="1"/>
  <c r="M322" i="1"/>
  <c r="J323" i="1"/>
  <c r="K323" i="1"/>
  <c r="L323" i="1"/>
  <c r="M323" i="1"/>
  <c r="J324" i="1"/>
  <c r="K324" i="1"/>
  <c r="L324" i="1"/>
  <c r="M324" i="1"/>
  <c r="J325" i="1"/>
  <c r="K325" i="1"/>
  <c r="L325" i="1"/>
  <c r="M325" i="1"/>
  <c r="J326" i="1"/>
  <c r="K326" i="1"/>
  <c r="L326" i="1"/>
  <c r="M326" i="1"/>
  <c r="J366" i="1"/>
  <c r="K366" i="1"/>
  <c r="L366" i="1"/>
  <c r="M366" i="1"/>
  <c r="J383" i="1"/>
  <c r="K383" i="1"/>
  <c r="L383" i="1"/>
  <c r="M383" i="1"/>
  <c r="J406" i="1"/>
  <c r="K406" i="1"/>
  <c r="L406" i="1"/>
  <c r="M406" i="1"/>
  <c r="J422" i="1"/>
  <c r="K422" i="1"/>
  <c r="L422" i="1"/>
  <c r="M422" i="1"/>
  <c r="J423" i="1"/>
  <c r="K423" i="1"/>
  <c r="L423" i="1"/>
  <c r="M423" i="1"/>
  <c r="J424" i="1"/>
  <c r="K424" i="1"/>
  <c r="L424" i="1"/>
  <c r="M424" i="1"/>
  <c r="J443" i="1"/>
  <c r="K443" i="1"/>
  <c r="L443" i="1"/>
  <c r="M443" i="1"/>
  <c r="J470" i="1"/>
  <c r="K470" i="1"/>
  <c r="L470" i="1"/>
  <c r="M470" i="1"/>
  <c r="J474" i="1"/>
  <c r="K474" i="1"/>
  <c r="L474" i="1"/>
  <c r="M474" i="1"/>
  <c r="J476" i="1"/>
  <c r="K476" i="1"/>
  <c r="L476" i="1"/>
  <c r="M476" i="1"/>
  <c r="J486" i="1"/>
  <c r="K486" i="1"/>
  <c r="L486" i="1"/>
  <c r="M486" i="1"/>
  <c r="J487" i="1"/>
  <c r="K487" i="1"/>
  <c r="L487" i="1"/>
  <c r="M487" i="1"/>
  <c r="J501" i="1"/>
  <c r="K501" i="1"/>
  <c r="L501" i="1"/>
  <c r="M501" i="1"/>
  <c r="J517" i="1"/>
  <c r="K517" i="1"/>
  <c r="L517" i="1"/>
  <c r="M517" i="1"/>
  <c r="J555" i="1"/>
  <c r="K555" i="1"/>
  <c r="L555" i="1"/>
  <c r="M555" i="1"/>
  <c r="J556" i="1"/>
  <c r="K556" i="1"/>
  <c r="L556" i="1"/>
  <c r="M556" i="1"/>
  <c r="J560" i="1"/>
  <c r="K560" i="1"/>
  <c r="L560" i="1"/>
  <c r="M560" i="1"/>
  <c r="J579" i="1"/>
  <c r="K579" i="1"/>
  <c r="L579" i="1"/>
  <c r="M579" i="1"/>
  <c r="J580" i="1"/>
  <c r="K580" i="1"/>
  <c r="L580" i="1"/>
  <c r="M580" i="1"/>
  <c r="J587" i="1"/>
  <c r="K587" i="1"/>
  <c r="L587" i="1"/>
  <c r="M587" i="1"/>
  <c r="J622" i="1"/>
  <c r="K622" i="1"/>
  <c r="L622" i="1"/>
  <c r="M622" i="1"/>
  <c r="J632" i="1"/>
  <c r="K632" i="1"/>
  <c r="L632" i="1"/>
  <c r="M632" i="1"/>
  <c r="J670" i="1"/>
  <c r="K670" i="1"/>
  <c r="L670" i="1"/>
  <c r="M670" i="1"/>
  <c r="J683" i="1"/>
  <c r="K683" i="1"/>
  <c r="L683" i="1"/>
  <c r="M683" i="1"/>
  <c r="J694" i="1"/>
  <c r="K694" i="1"/>
  <c r="L694" i="1"/>
  <c r="M694" i="1"/>
  <c r="J51" i="1"/>
  <c r="K51" i="1"/>
  <c r="L51" i="1"/>
  <c r="M51" i="1"/>
  <c r="J59" i="1"/>
  <c r="K59" i="1"/>
  <c r="L59" i="1"/>
  <c r="M59" i="1"/>
  <c r="J60" i="1"/>
  <c r="K60" i="1"/>
  <c r="L60" i="1"/>
  <c r="M60" i="1"/>
  <c r="J74" i="1"/>
  <c r="K74" i="1"/>
  <c r="L74" i="1"/>
  <c r="M74" i="1"/>
  <c r="J117" i="1"/>
  <c r="K117" i="1"/>
  <c r="L117" i="1"/>
  <c r="M117" i="1"/>
  <c r="J121" i="1"/>
  <c r="K121" i="1"/>
  <c r="L121" i="1"/>
  <c r="M121" i="1"/>
  <c r="J132" i="1"/>
  <c r="K132" i="1"/>
  <c r="L132" i="1"/>
  <c r="M132" i="1"/>
  <c r="J155" i="1"/>
  <c r="K155" i="1"/>
  <c r="L155" i="1"/>
  <c r="M155" i="1"/>
  <c r="J156" i="1"/>
  <c r="K156" i="1"/>
  <c r="L156" i="1"/>
  <c r="M156" i="1"/>
  <c r="J157" i="1"/>
  <c r="K157" i="1"/>
  <c r="L157" i="1"/>
  <c r="M157" i="1"/>
  <c r="J158" i="1"/>
  <c r="K158" i="1"/>
  <c r="L158" i="1"/>
  <c r="M158" i="1"/>
  <c r="J159" i="1"/>
  <c r="K159" i="1"/>
  <c r="L159" i="1"/>
  <c r="M159" i="1"/>
  <c r="J160" i="1"/>
  <c r="K160" i="1"/>
  <c r="L160" i="1"/>
  <c r="M160" i="1"/>
  <c r="J161" i="1"/>
  <c r="K161" i="1"/>
  <c r="L161" i="1"/>
  <c r="M161" i="1"/>
  <c r="J162" i="1"/>
  <c r="K162" i="1"/>
  <c r="L162" i="1"/>
  <c r="M162" i="1"/>
  <c r="J163" i="1"/>
  <c r="K163" i="1"/>
  <c r="L163" i="1"/>
  <c r="M163" i="1"/>
  <c r="J164" i="1"/>
  <c r="K164" i="1"/>
  <c r="L164" i="1"/>
  <c r="M164" i="1"/>
  <c r="J165" i="1"/>
  <c r="K165" i="1"/>
  <c r="L165" i="1"/>
  <c r="M165" i="1"/>
  <c r="J166" i="1"/>
  <c r="K166" i="1"/>
  <c r="L166" i="1"/>
  <c r="M166" i="1"/>
  <c r="J174" i="1"/>
  <c r="K174" i="1"/>
  <c r="L174" i="1"/>
  <c r="M174" i="1"/>
  <c r="J177" i="1"/>
  <c r="K177" i="1"/>
  <c r="L177" i="1"/>
  <c r="M177" i="1"/>
  <c r="J182" i="1"/>
  <c r="K182" i="1"/>
  <c r="L182" i="1"/>
  <c r="M182" i="1"/>
  <c r="J191" i="1"/>
  <c r="K191" i="1"/>
  <c r="L191" i="1"/>
  <c r="M191" i="1"/>
  <c r="J199" i="1"/>
  <c r="K199" i="1"/>
  <c r="L199" i="1"/>
  <c r="M199" i="1"/>
  <c r="J211" i="1"/>
  <c r="K211" i="1"/>
  <c r="L211" i="1"/>
  <c r="M211" i="1"/>
  <c r="J297" i="1"/>
  <c r="K297" i="1"/>
  <c r="L297" i="1"/>
  <c r="M297" i="1"/>
  <c r="J298" i="1"/>
  <c r="K298" i="1"/>
  <c r="L298" i="1"/>
  <c r="M298" i="1"/>
  <c r="J303" i="1"/>
  <c r="K303" i="1"/>
  <c r="L303" i="1"/>
  <c r="M303" i="1"/>
  <c r="J304" i="1"/>
  <c r="K304" i="1"/>
  <c r="L304" i="1"/>
  <c r="M304" i="1"/>
  <c r="J305" i="1"/>
  <c r="K305" i="1"/>
  <c r="L305" i="1"/>
  <c r="M305" i="1"/>
  <c r="J306" i="1"/>
  <c r="K306" i="1"/>
  <c r="L306" i="1"/>
  <c r="M306" i="1"/>
  <c r="J307" i="1"/>
  <c r="K307" i="1"/>
  <c r="L307" i="1"/>
  <c r="M307" i="1"/>
  <c r="J308" i="1"/>
  <c r="K308" i="1"/>
  <c r="L308" i="1"/>
  <c r="M308" i="1"/>
  <c r="J309" i="1"/>
  <c r="K309" i="1"/>
  <c r="L309" i="1"/>
  <c r="M309" i="1"/>
  <c r="J343" i="1"/>
  <c r="K343" i="1"/>
  <c r="L343" i="1"/>
  <c r="M343" i="1"/>
  <c r="J344" i="1"/>
  <c r="K344" i="1"/>
  <c r="L344" i="1"/>
  <c r="M344" i="1"/>
  <c r="J345" i="1"/>
  <c r="K345" i="1"/>
  <c r="L345" i="1"/>
  <c r="M345" i="1"/>
  <c r="J346" i="1"/>
  <c r="K346" i="1"/>
  <c r="L346" i="1"/>
  <c r="M346" i="1"/>
  <c r="J347" i="1"/>
  <c r="K347" i="1"/>
  <c r="L347" i="1"/>
  <c r="M347" i="1"/>
  <c r="J348" i="1"/>
  <c r="K348" i="1"/>
  <c r="L348" i="1"/>
  <c r="M348" i="1"/>
  <c r="J349" i="1"/>
  <c r="K349" i="1"/>
  <c r="L349" i="1"/>
  <c r="M349" i="1"/>
  <c r="J350" i="1"/>
  <c r="K350" i="1"/>
  <c r="L350" i="1"/>
  <c r="M350" i="1"/>
  <c r="J351" i="1"/>
  <c r="K351" i="1"/>
  <c r="L351" i="1"/>
  <c r="M351" i="1"/>
  <c r="J354" i="1"/>
  <c r="K354" i="1"/>
  <c r="L354" i="1"/>
  <c r="M354" i="1"/>
  <c r="J356" i="1"/>
  <c r="K356" i="1"/>
  <c r="L356" i="1"/>
  <c r="M356" i="1"/>
  <c r="J360" i="1"/>
  <c r="K360" i="1"/>
  <c r="L360" i="1"/>
  <c r="M360" i="1"/>
  <c r="J374" i="1"/>
  <c r="K374" i="1"/>
  <c r="L374" i="1"/>
  <c r="M374" i="1"/>
  <c r="J396" i="1"/>
  <c r="K396" i="1"/>
  <c r="L396" i="1"/>
  <c r="M396" i="1"/>
  <c r="J407" i="1"/>
  <c r="K407" i="1"/>
  <c r="L407" i="1"/>
  <c r="M407" i="1"/>
  <c r="J408" i="1"/>
  <c r="K408" i="1"/>
  <c r="L408" i="1"/>
  <c r="M408" i="1"/>
  <c r="J409" i="1"/>
  <c r="K409" i="1"/>
  <c r="L409" i="1"/>
  <c r="M409" i="1"/>
  <c r="J425" i="1"/>
  <c r="K425" i="1"/>
  <c r="L425" i="1"/>
  <c r="M425" i="1"/>
  <c r="J429" i="1"/>
  <c r="K429" i="1"/>
  <c r="L429" i="1"/>
  <c r="M429" i="1"/>
  <c r="J430" i="1"/>
  <c r="K430" i="1"/>
  <c r="L430" i="1"/>
  <c r="M430" i="1"/>
  <c r="J431" i="1"/>
  <c r="K431" i="1"/>
  <c r="L431" i="1"/>
  <c r="M431" i="1"/>
  <c r="J432" i="1"/>
  <c r="K432" i="1"/>
  <c r="L432" i="1"/>
  <c r="M432" i="1"/>
  <c r="J433" i="1"/>
  <c r="K433" i="1"/>
  <c r="L433" i="1"/>
  <c r="M433" i="1"/>
  <c r="J434" i="1"/>
  <c r="K434" i="1"/>
  <c r="L434" i="1"/>
  <c r="M434" i="1"/>
  <c r="J435" i="1"/>
  <c r="K435" i="1"/>
  <c r="L435" i="1"/>
  <c r="M435" i="1"/>
  <c r="J436" i="1"/>
  <c r="K436" i="1"/>
  <c r="L436" i="1"/>
  <c r="M436" i="1"/>
  <c r="J437" i="1"/>
  <c r="K437" i="1"/>
  <c r="L437" i="1"/>
  <c r="M437" i="1"/>
  <c r="J438" i="1"/>
  <c r="K438" i="1"/>
  <c r="L438" i="1"/>
  <c r="M438" i="1"/>
  <c r="J439" i="1"/>
  <c r="K439" i="1"/>
  <c r="L439" i="1"/>
  <c r="M439" i="1"/>
  <c r="J465" i="1"/>
  <c r="K465" i="1"/>
  <c r="L465" i="1"/>
  <c r="M465" i="1"/>
  <c r="J479" i="1"/>
  <c r="K479" i="1"/>
  <c r="L479" i="1"/>
  <c r="M479" i="1"/>
  <c r="J499" i="1"/>
  <c r="K499" i="1"/>
  <c r="L499" i="1"/>
  <c r="M499" i="1"/>
  <c r="J512" i="1"/>
  <c r="K512" i="1"/>
  <c r="L512" i="1"/>
  <c r="M512" i="1"/>
  <c r="J617" i="1"/>
  <c r="K617" i="1"/>
  <c r="L617" i="1"/>
  <c r="M617" i="1"/>
  <c r="J630" i="1"/>
  <c r="K630" i="1"/>
  <c r="L630" i="1"/>
  <c r="M630" i="1"/>
  <c r="J642" i="1"/>
  <c r="K642" i="1"/>
  <c r="L642" i="1"/>
  <c r="M642" i="1"/>
  <c r="J656" i="1"/>
  <c r="K656" i="1"/>
  <c r="L656" i="1"/>
  <c r="M656" i="1"/>
  <c r="J48" i="1"/>
  <c r="K48" i="1"/>
  <c r="L48" i="1"/>
  <c r="M48" i="1"/>
  <c r="J55" i="1"/>
  <c r="K55" i="1"/>
  <c r="L55" i="1"/>
  <c r="M55" i="1"/>
  <c r="J54" i="1"/>
  <c r="K54" i="1"/>
  <c r="L54" i="1"/>
  <c r="M54" i="1"/>
  <c r="J56" i="1"/>
  <c r="K56" i="1"/>
  <c r="L56" i="1"/>
  <c r="M56" i="1"/>
  <c r="J57" i="1"/>
  <c r="K57" i="1"/>
  <c r="L57" i="1"/>
  <c r="M57" i="1"/>
  <c r="J61" i="1"/>
  <c r="K61" i="1"/>
  <c r="L61" i="1"/>
  <c r="M61" i="1"/>
  <c r="J62" i="1"/>
  <c r="K62" i="1"/>
  <c r="L62" i="1"/>
  <c r="M62" i="1"/>
  <c r="J63" i="1"/>
  <c r="K63" i="1"/>
  <c r="L63" i="1"/>
  <c r="M63" i="1"/>
  <c r="J64" i="1"/>
  <c r="K64" i="1"/>
  <c r="L64" i="1"/>
  <c r="M64" i="1"/>
  <c r="J65" i="1"/>
  <c r="K65" i="1"/>
  <c r="L65" i="1"/>
  <c r="M65" i="1"/>
  <c r="J66" i="1"/>
  <c r="K66" i="1"/>
  <c r="L66" i="1"/>
  <c r="M66" i="1"/>
  <c r="J67" i="1"/>
  <c r="K67" i="1"/>
  <c r="L67" i="1"/>
  <c r="M67" i="1"/>
  <c r="J79" i="1"/>
  <c r="K79" i="1"/>
  <c r="L79" i="1"/>
  <c r="M79" i="1"/>
  <c r="J80" i="1"/>
  <c r="K80" i="1"/>
  <c r="L80" i="1"/>
  <c r="M80" i="1"/>
  <c r="J84" i="1"/>
  <c r="K84" i="1"/>
  <c r="L84" i="1"/>
  <c r="M84" i="1"/>
  <c r="J89" i="1"/>
  <c r="K89" i="1"/>
  <c r="L89" i="1"/>
  <c r="M89" i="1"/>
  <c r="J91" i="1"/>
  <c r="K91" i="1"/>
  <c r="L91" i="1"/>
  <c r="M91" i="1"/>
  <c r="J94" i="1"/>
  <c r="K94" i="1"/>
  <c r="L94" i="1"/>
  <c r="M94" i="1"/>
  <c r="J98" i="1"/>
  <c r="K98" i="1"/>
  <c r="L98" i="1"/>
  <c r="M98" i="1"/>
  <c r="J102" i="1"/>
  <c r="K102" i="1"/>
  <c r="L102" i="1"/>
  <c r="M102" i="1"/>
  <c r="J103" i="1"/>
  <c r="K103" i="1"/>
  <c r="L103" i="1"/>
  <c r="M103" i="1"/>
  <c r="J106" i="1"/>
  <c r="K106" i="1"/>
  <c r="L106" i="1"/>
  <c r="M106" i="1"/>
  <c r="J107" i="1"/>
  <c r="K107" i="1"/>
  <c r="L107" i="1"/>
  <c r="M107" i="1"/>
  <c r="J108" i="1"/>
  <c r="K108" i="1"/>
  <c r="L108" i="1"/>
  <c r="M108" i="1"/>
  <c r="J109" i="1"/>
  <c r="K109" i="1"/>
  <c r="L109" i="1"/>
  <c r="M109" i="1"/>
  <c r="J110" i="1"/>
  <c r="K110" i="1"/>
  <c r="L110" i="1"/>
  <c r="M110" i="1"/>
  <c r="J111" i="1"/>
  <c r="K111" i="1"/>
  <c r="L111" i="1"/>
  <c r="M111" i="1"/>
  <c r="J112" i="1"/>
  <c r="K112" i="1"/>
  <c r="L112" i="1"/>
  <c r="M112" i="1"/>
  <c r="J113" i="1"/>
  <c r="K113" i="1"/>
  <c r="L113" i="1"/>
  <c r="M113" i="1"/>
  <c r="J133" i="1"/>
  <c r="K133" i="1"/>
  <c r="L133" i="1"/>
  <c r="M133" i="1"/>
  <c r="J134" i="1"/>
  <c r="K134" i="1"/>
  <c r="L134" i="1"/>
  <c r="M134" i="1"/>
  <c r="J135" i="1"/>
  <c r="K135" i="1"/>
  <c r="L135" i="1"/>
  <c r="M135" i="1"/>
  <c r="J136" i="1"/>
  <c r="K136" i="1"/>
  <c r="L136" i="1"/>
  <c r="M136" i="1"/>
  <c r="J137" i="1"/>
  <c r="K137" i="1"/>
  <c r="L137" i="1"/>
  <c r="M137" i="1"/>
  <c r="J138" i="1"/>
  <c r="K138" i="1"/>
  <c r="L138" i="1"/>
  <c r="M138" i="1"/>
  <c r="J139" i="1"/>
  <c r="K139" i="1"/>
  <c r="L139" i="1"/>
  <c r="M139" i="1"/>
  <c r="J142" i="1"/>
  <c r="K142" i="1"/>
  <c r="L142" i="1"/>
  <c r="M142" i="1"/>
  <c r="J143" i="1"/>
  <c r="K143" i="1"/>
  <c r="L143" i="1"/>
  <c r="M143" i="1"/>
  <c r="J144" i="1"/>
  <c r="K144" i="1"/>
  <c r="L144" i="1"/>
  <c r="M144" i="1"/>
  <c r="J145" i="1"/>
  <c r="K145" i="1"/>
  <c r="L145" i="1"/>
  <c r="M145" i="1"/>
  <c r="J146" i="1"/>
  <c r="K146" i="1"/>
  <c r="L146" i="1"/>
  <c r="M146" i="1"/>
  <c r="J147" i="1"/>
  <c r="K147" i="1"/>
  <c r="L147" i="1"/>
  <c r="M147" i="1"/>
  <c r="J149" i="1"/>
  <c r="K149" i="1"/>
  <c r="L149" i="1"/>
  <c r="M149" i="1"/>
  <c r="J154" i="1"/>
  <c r="K154" i="1"/>
  <c r="L154" i="1"/>
  <c r="M154" i="1"/>
  <c r="J179" i="1"/>
  <c r="K179" i="1"/>
  <c r="L179" i="1"/>
  <c r="M179" i="1"/>
  <c r="J187" i="1"/>
  <c r="K187" i="1"/>
  <c r="L187" i="1"/>
  <c r="M187" i="1"/>
  <c r="J188" i="1"/>
  <c r="K188" i="1"/>
  <c r="L188" i="1"/>
  <c r="M188" i="1"/>
  <c r="J190" i="1"/>
  <c r="K190" i="1"/>
  <c r="L190" i="1"/>
  <c r="M190" i="1"/>
  <c r="J189" i="1"/>
  <c r="K189" i="1"/>
  <c r="L189" i="1"/>
  <c r="M189" i="1"/>
  <c r="J192" i="1"/>
  <c r="K192" i="1"/>
  <c r="L192" i="1"/>
  <c r="M192" i="1"/>
  <c r="J195" i="1"/>
  <c r="K195" i="1"/>
  <c r="L195" i="1"/>
  <c r="M195" i="1"/>
  <c r="J197" i="1"/>
  <c r="K197" i="1"/>
  <c r="L197" i="1"/>
  <c r="M197" i="1"/>
  <c r="J201" i="1"/>
  <c r="K201" i="1"/>
  <c r="L201" i="1"/>
  <c r="M201" i="1"/>
  <c r="J202" i="1"/>
  <c r="K202" i="1"/>
  <c r="L202" i="1"/>
  <c r="M202" i="1"/>
  <c r="J206" i="1"/>
  <c r="K206" i="1"/>
  <c r="L206" i="1"/>
  <c r="M206" i="1"/>
  <c r="J207" i="1"/>
  <c r="K207" i="1"/>
  <c r="L207" i="1"/>
  <c r="M207" i="1"/>
  <c r="J210" i="1"/>
  <c r="K210" i="1"/>
  <c r="L210" i="1"/>
  <c r="M210" i="1"/>
  <c r="J215" i="1"/>
  <c r="K215" i="1"/>
  <c r="L215" i="1"/>
  <c r="M215" i="1"/>
  <c r="J216" i="1"/>
  <c r="K216" i="1"/>
  <c r="L216" i="1"/>
  <c r="M216" i="1"/>
  <c r="J217" i="1"/>
  <c r="K217" i="1"/>
  <c r="L217" i="1"/>
  <c r="M217" i="1"/>
  <c r="J223" i="1"/>
  <c r="K223" i="1"/>
  <c r="L223" i="1"/>
  <c r="M223" i="1"/>
  <c r="J226" i="1"/>
  <c r="K226" i="1"/>
  <c r="L226" i="1"/>
  <c r="M226" i="1"/>
  <c r="J239" i="1"/>
  <c r="K239" i="1"/>
  <c r="L239" i="1"/>
  <c r="M239" i="1"/>
  <c r="J262" i="1"/>
  <c r="K262" i="1"/>
  <c r="L262" i="1"/>
  <c r="M262" i="1"/>
  <c r="J263" i="1"/>
  <c r="K263" i="1"/>
  <c r="L263" i="1"/>
  <c r="M263" i="1"/>
  <c r="J264" i="1"/>
  <c r="K264" i="1"/>
  <c r="L264" i="1"/>
  <c r="M264" i="1"/>
  <c r="J277" i="1"/>
  <c r="K277" i="1"/>
  <c r="L277" i="1"/>
  <c r="M277" i="1"/>
  <c r="J282" i="1"/>
  <c r="K282" i="1"/>
  <c r="L282" i="1"/>
  <c r="M282" i="1"/>
  <c r="J301" i="1"/>
  <c r="K301" i="1"/>
  <c r="L301" i="1"/>
  <c r="M301" i="1"/>
  <c r="J311" i="1"/>
  <c r="K311" i="1"/>
  <c r="L311" i="1"/>
  <c r="M311" i="1"/>
  <c r="J312" i="1"/>
  <c r="K312" i="1"/>
  <c r="L312" i="1"/>
  <c r="M312" i="1"/>
  <c r="J328" i="1"/>
  <c r="K328" i="1"/>
  <c r="L328" i="1"/>
  <c r="M328" i="1"/>
  <c r="J358" i="1"/>
  <c r="K358" i="1"/>
  <c r="L358" i="1"/>
  <c r="M358" i="1"/>
  <c r="J376" i="1"/>
  <c r="K376" i="1"/>
  <c r="L376" i="1"/>
  <c r="M376" i="1"/>
  <c r="J378" i="1"/>
  <c r="K378" i="1"/>
  <c r="L378" i="1"/>
  <c r="M378" i="1"/>
  <c r="J384" i="1"/>
  <c r="K384" i="1"/>
  <c r="L384" i="1"/>
  <c r="M384" i="1"/>
  <c r="J385" i="1"/>
  <c r="K385" i="1"/>
  <c r="L385" i="1"/>
  <c r="M385" i="1"/>
  <c r="J386" i="1"/>
  <c r="K386" i="1"/>
  <c r="L386" i="1"/>
  <c r="M386" i="1"/>
  <c r="J387" i="1"/>
  <c r="K387" i="1"/>
  <c r="L387" i="1"/>
  <c r="M387" i="1"/>
  <c r="J401" i="1"/>
  <c r="K401" i="1"/>
  <c r="L401" i="1"/>
  <c r="M401" i="1"/>
  <c r="J402" i="1"/>
  <c r="K402" i="1"/>
  <c r="L402" i="1"/>
  <c r="M402" i="1"/>
  <c r="J451" i="1"/>
  <c r="K451" i="1"/>
  <c r="L451" i="1"/>
  <c r="M451" i="1"/>
  <c r="J452" i="1"/>
  <c r="K452" i="1"/>
  <c r="L452" i="1"/>
  <c r="M452" i="1"/>
  <c r="J453" i="1"/>
  <c r="K453" i="1"/>
  <c r="L453" i="1"/>
  <c r="M453" i="1"/>
  <c r="J456" i="1"/>
  <c r="K456" i="1"/>
  <c r="L456" i="1"/>
  <c r="M456" i="1"/>
  <c r="J462" i="1"/>
  <c r="K462" i="1"/>
  <c r="L462" i="1"/>
  <c r="M462" i="1"/>
  <c r="J477" i="1"/>
  <c r="K477" i="1"/>
  <c r="L477" i="1"/>
  <c r="M477" i="1"/>
  <c r="J481" i="1"/>
  <c r="K481" i="1"/>
  <c r="L481" i="1"/>
  <c r="M481" i="1"/>
  <c r="J480" i="1"/>
  <c r="K480" i="1"/>
  <c r="L480" i="1"/>
  <c r="M480" i="1"/>
  <c r="J482" i="1"/>
  <c r="K482" i="1"/>
  <c r="L482" i="1"/>
  <c r="M482" i="1"/>
  <c r="J483" i="1"/>
  <c r="K483" i="1"/>
  <c r="L483" i="1"/>
  <c r="M483" i="1"/>
  <c r="J491" i="1"/>
  <c r="K491" i="1"/>
  <c r="L491" i="1"/>
  <c r="M491" i="1"/>
  <c r="J492" i="1"/>
  <c r="K492" i="1"/>
  <c r="L492" i="1"/>
  <c r="M492" i="1"/>
  <c r="J500" i="1"/>
  <c r="K500" i="1"/>
  <c r="L500" i="1"/>
  <c r="M500" i="1"/>
  <c r="J511" i="1"/>
  <c r="K511" i="1"/>
  <c r="L511" i="1"/>
  <c r="M511" i="1"/>
  <c r="J531" i="1"/>
  <c r="K531" i="1"/>
  <c r="L531" i="1"/>
  <c r="M531" i="1"/>
  <c r="J543" i="1"/>
  <c r="K543" i="1"/>
  <c r="L543" i="1"/>
  <c r="M543" i="1"/>
  <c r="J550" i="1"/>
  <c r="K550" i="1"/>
  <c r="L550" i="1"/>
  <c r="M550" i="1"/>
  <c r="J552" i="1"/>
  <c r="K552" i="1"/>
  <c r="L552" i="1"/>
  <c r="M552" i="1"/>
  <c r="J553" i="1"/>
  <c r="K553" i="1"/>
  <c r="L553" i="1"/>
  <c r="M553" i="1"/>
  <c r="J554" i="1"/>
  <c r="K554" i="1"/>
  <c r="L554" i="1"/>
  <c r="M554" i="1"/>
  <c r="J564" i="1"/>
  <c r="K564" i="1"/>
  <c r="L564" i="1"/>
  <c r="M564" i="1"/>
  <c r="J565" i="1"/>
  <c r="K565" i="1"/>
  <c r="L565" i="1"/>
  <c r="M565" i="1"/>
  <c r="J562" i="1"/>
  <c r="K562" i="1"/>
  <c r="L562" i="1"/>
  <c r="M562" i="1"/>
  <c r="J569" i="1"/>
  <c r="K569" i="1"/>
  <c r="L569" i="1"/>
  <c r="M569" i="1"/>
  <c r="J570" i="1"/>
  <c r="K570" i="1"/>
  <c r="L570" i="1"/>
  <c r="M570" i="1"/>
  <c r="J571" i="1"/>
  <c r="K571" i="1"/>
  <c r="L571" i="1"/>
  <c r="M571" i="1"/>
  <c r="J572" i="1"/>
  <c r="K572" i="1"/>
  <c r="L572" i="1"/>
  <c r="M572" i="1"/>
  <c r="J577" i="1"/>
  <c r="K577" i="1"/>
  <c r="L577" i="1"/>
  <c r="M577" i="1"/>
  <c r="J584" i="1"/>
  <c r="K584" i="1"/>
  <c r="L584" i="1"/>
  <c r="M584" i="1"/>
  <c r="J591" i="1"/>
  <c r="K591" i="1"/>
  <c r="L591" i="1"/>
  <c r="M591" i="1"/>
  <c r="J597" i="1"/>
  <c r="K597" i="1"/>
  <c r="L597" i="1"/>
  <c r="M597" i="1"/>
  <c r="J598" i="1"/>
  <c r="K598" i="1"/>
  <c r="L598" i="1"/>
  <c r="M598" i="1"/>
  <c r="J604" i="1"/>
  <c r="K604" i="1"/>
  <c r="L604" i="1"/>
  <c r="M604" i="1"/>
  <c r="J611" i="1"/>
  <c r="K611" i="1"/>
  <c r="L611" i="1"/>
  <c r="M611" i="1"/>
  <c r="J619" i="1"/>
  <c r="K619" i="1"/>
  <c r="L619" i="1"/>
  <c r="M619" i="1"/>
  <c r="J627" i="1"/>
  <c r="K627" i="1"/>
  <c r="L627" i="1"/>
  <c r="M627" i="1"/>
  <c r="J646" i="1"/>
  <c r="K646" i="1"/>
  <c r="L646" i="1"/>
  <c r="M646" i="1"/>
  <c r="J647" i="1"/>
  <c r="K647" i="1"/>
  <c r="L647" i="1"/>
  <c r="M647" i="1"/>
  <c r="J648" i="1"/>
  <c r="K648" i="1"/>
  <c r="L648" i="1"/>
  <c r="M648" i="1"/>
  <c r="J650" i="1"/>
  <c r="K650" i="1"/>
  <c r="L650" i="1"/>
  <c r="M650" i="1"/>
  <c r="J651" i="1"/>
  <c r="K651" i="1"/>
  <c r="L651" i="1"/>
  <c r="M651" i="1"/>
  <c r="J654" i="1"/>
  <c r="K654" i="1"/>
  <c r="L654" i="1"/>
  <c r="M654" i="1"/>
  <c r="J655" i="1"/>
  <c r="K655" i="1"/>
  <c r="L655" i="1"/>
  <c r="M655" i="1"/>
  <c r="J660" i="1"/>
  <c r="K660" i="1"/>
  <c r="L660" i="1"/>
  <c r="M660" i="1"/>
  <c r="J666" i="1"/>
  <c r="K666" i="1"/>
  <c r="L666" i="1"/>
  <c r="M666" i="1"/>
  <c r="J677" i="1"/>
  <c r="K677" i="1"/>
  <c r="L677" i="1"/>
  <c r="M677" i="1"/>
  <c r="J679" i="1"/>
  <c r="K679" i="1"/>
  <c r="L679" i="1"/>
  <c r="M679" i="1"/>
  <c r="J682" i="1"/>
  <c r="K682" i="1"/>
  <c r="L682" i="1"/>
  <c r="M682" i="1"/>
  <c r="J689" i="1"/>
  <c r="K689" i="1"/>
  <c r="L689" i="1"/>
  <c r="M689" i="1"/>
  <c r="J686" i="1"/>
  <c r="K686" i="1"/>
  <c r="L686" i="1"/>
  <c r="M686" i="1"/>
  <c r="J691" i="1"/>
  <c r="K691" i="1"/>
  <c r="L691" i="1"/>
  <c r="M691" i="1"/>
  <c r="J695" i="1"/>
  <c r="K695" i="1"/>
  <c r="L695" i="1"/>
  <c r="M695" i="1"/>
</calcChain>
</file>

<file path=xl/comments1.xml><?xml version="1.0" encoding="utf-8"?>
<comments xmlns="http://schemas.openxmlformats.org/spreadsheetml/2006/main">
  <authors>
    <author>Louis Hinzen</author>
  </authors>
  <commentList>
    <comment ref="O6" authorId="0">
      <text>
        <r>
          <rPr>
            <sz val="10"/>
            <color indexed="81"/>
            <rFont val="Arial"/>
            <family val="2"/>
          </rPr>
          <t>Please inform the Secretariat if you are concerned by any WTO notification and if you consider that the a proposed measure is in breach of one of the provisions of the TBT and / or SPS Agreement. Considering the large quantities of notifications, the Secretariat needs to</t>
        </r>
        <r>
          <rPr>
            <u/>
            <sz val="10"/>
            <color indexed="81"/>
            <rFont val="Arial"/>
            <family val="2"/>
          </rPr>
          <t xml:space="preserve"> focus on notifications of horizontal nature</t>
        </r>
        <r>
          <rPr>
            <sz val="10"/>
            <color indexed="81"/>
            <rFont val="Arial"/>
            <family val="2"/>
          </rPr>
          <t xml:space="preserve">, i.e. affecting food and drink products at large - and not on product / sector specific notifications. 
Please subtantiate your concerns by stating:
i) why a proposed measure is/ may not be compliant with relevant international standards 
ii) why it may create a barrier to trade with the third country  
Please send your detailed comments to FoodDrinkEurope asap after the publication of a WTO notification of concern. We will review your input, consult the wider membership for feedback, and if possible submit consolidated comments to the European Commission in order to trigger an official EU reply towards the third country. 
(Note: the Commission needs to receive stakeholder input at least 3 weeks before the official WTO deadline)
For more information, please contact l.hinzen@fooddrinkeurope.eu  
--------------------------------------------------------------------------
</t>
        </r>
        <r>
          <rPr>
            <b/>
            <sz val="10"/>
            <color indexed="81"/>
            <rFont val="Arial"/>
            <family val="2"/>
          </rPr>
          <t>Background document</t>
        </r>
        <r>
          <rPr>
            <sz val="10"/>
            <color indexed="81"/>
            <rFont val="Arial"/>
            <family val="2"/>
          </rPr>
          <t xml:space="preserve">
COMP/TRADE/290/16
'WTO Notification Procedure - How to prevent international trade barriers (a manual compiled by FoodDrinkEurope)'
---------------------------------------------------------------------------
</t>
        </r>
        <r>
          <rPr>
            <b/>
            <sz val="10"/>
            <color indexed="81"/>
            <rFont val="Arial"/>
            <family val="2"/>
          </rPr>
          <t>EU TBT Enquiry Point</t>
        </r>
        <r>
          <rPr>
            <sz val="10"/>
            <color indexed="81"/>
            <rFont val="Arial"/>
            <family val="2"/>
          </rPr>
          <t xml:space="preserve">
DG for Internal Market, Industry, Entrepreneurship and SME's
Unit GROW B2
Tel:  + 32 (2) 2956396
Fax :  + 32 (2) 2998043
GROW-EU-TBT@ec.europa.eu 
</t>
        </r>
        <r>
          <rPr>
            <b/>
            <sz val="10"/>
            <color indexed="81"/>
            <rFont val="Arial"/>
            <family val="2"/>
          </rPr>
          <t>EU SPS Notification Authority &amp; Enquiry Point</t>
        </r>
        <r>
          <rPr>
            <sz val="10"/>
            <color indexed="81"/>
            <rFont val="Arial"/>
            <family val="2"/>
          </rPr>
          <t xml:space="preserve">
DG for Health and Consumers
D.2 Multilateral International Relations Unit 
Phone +32 (2) 29 54263; 
Fax: +32 (2) 29 98090
sps@ec.europa.eu 
</t>
        </r>
      </text>
    </comment>
  </commentList>
</comments>
</file>

<file path=xl/comments2.xml><?xml version="1.0" encoding="utf-8"?>
<comments xmlns="http://schemas.openxmlformats.org/spreadsheetml/2006/main">
  <authors>
    <author>Louis Hinzen</author>
  </authors>
  <commentList>
    <comment ref="O6" authorId="0">
      <text>
        <r>
          <rPr>
            <sz val="10"/>
            <color indexed="81"/>
            <rFont val="Arial"/>
            <family val="2"/>
          </rPr>
          <t xml:space="preserve">Please inform the Secretariat if you are concerned by any WTO notification and if you consider that the a proposed measure is in breach of one of the provisions of the TBT and / or SPS Agreement. Considering the large quantities of notifications, the Secretariat needs to </t>
        </r>
        <r>
          <rPr>
            <u/>
            <sz val="10"/>
            <color indexed="81"/>
            <rFont val="Arial"/>
            <family val="2"/>
          </rPr>
          <t>focus on notifications of horizontal nature</t>
        </r>
        <r>
          <rPr>
            <sz val="10"/>
            <color indexed="81"/>
            <rFont val="Arial"/>
            <family val="2"/>
          </rPr>
          <t xml:space="preserve">, i.e. affecting food and drink products at large - and not on product / sector specific notifications. 
Please subtantiate your concerns by stating:
i) why a proposed measure is/ may not be compliant with relevant international standards 
ii) why it may create a barrier to trade with the third country  
Please send your detailed comments to FoodDrinkEurope asap after the publication of a WTO notification of concern. We will review your input, consult the wider membership for feedback, and if possible submit consolidated comments to the European Commission in order to trigger an official EU reply towards the third country. 
(Note: the Commission needs to receive stakeholder input at least 3 weeks before the official WTO deadline)
For more information, please contact l.hinzen@fooddrinkeurope.eu  
--------------------------------------------------------------------------
</t>
        </r>
        <r>
          <rPr>
            <b/>
            <sz val="10"/>
            <color indexed="81"/>
            <rFont val="Arial"/>
            <family val="2"/>
          </rPr>
          <t>Background document</t>
        </r>
        <r>
          <rPr>
            <sz val="10"/>
            <color indexed="81"/>
            <rFont val="Arial"/>
            <family val="2"/>
          </rPr>
          <t xml:space="preserve">
COMP/TRADE/290/16
'WTO Notification Procedure - How to prevent international trade barriers (a manual compiled by FoodDrinkEurope)'
---------------------------------------------------------------------------
</t>
        </r>
        <r>
          <rPr>
            <b/>
            <sz val="10"/>
            <color indexed="81"/>
            <rFont val="Arial"/>
            <family val="2"/>
          </rPr>
          <t>EU TBT Enquiry Point</t>
        </r>
        <r>
          <rPr>
            <sz val="10"/>
            <color indexed="81"/>
            <rFont val="Arial"/>
            <family val="2"/>
          </rPr>
          <t xml:space="preserve">
DG for Internal Market, Industry, Entrepreneurship and SME's
Unit GROW B2
Tel:  + 32 (2) 2956396
Fax :  + 32 (2) 2998043
GROW-EU-TBT@ec.europa.eu 
</t>
        </r>
        <r>
          <rPr>
            <b/>
            <sz val="10"/>
            <color indexed="81"/>
            <rFont val="Arial"/>
            <family val="2"/>
          </rPr>
          <t>EU SPS Notification Authority &amp; Enquiry Point</t>
        </r>
        <r>
          <rPr>
            <sz val="10"/>
            <color indexed="81"/>
            <rFont val="Arial"/>
            <family val="2"/>
          </rPr>
          <t xml:space="preserve">
DG for Health and Consumers
D.2 Multilateral International Relations Unit 
Phone +32 (2) 29 54263; 
Fax: +32 (2) 29 98090
sps@ec.europa.eu </t>
        </r>
      </text>
    </comment>
  </commentList>
</comments>
</file>

<file path=xl/sharedStrings.xml><?xml version="1.0" encoding="utf-8"?>
<sst xmlns="http://schemas.openxmlformats.org/spreadsheetml/2006/main" count="18048" uniqueCount="9406">
  <si>
    <t>Notifying Member(s)</t>
  </si>
  <si>
    <t>Symbol</t>
  </si>
  <si>
    <t>Title</t>
  </si>
  <si>
    <t>Description of content</t>
  </si>
  <si>
    <t>Distribution date</t>
  </si>
  <si>
    <t>Products (Free text)</t>
  </si>
  <si>
    <t>Products (HS/ICS code)</t>
  </si>
  <si>
    <t>Objectives</t>
  </si>
  <si>
    <t>Link EN</t>
  </si>
  <si>
    <t>Link FR</t>
  </si>
  <si>
    <t>Link ES</t>
  </si>
  <si>
    <t>Link to notification</t>
  </si>
  <si>
    <t>European Union</t>
  </si>
  <si>
    <t>G/TBT/N/EU/427</t>
  </si>
  <si>
    <t>Draft Commission Regulation refusing to authorise certain health claims made on foods  other than those referring to the reduction of disease risk and to children's development and health (4 pages + 2 pages of annex  in English)</t>
  </si>
  <si>
    <t>This draft Commission Regulation concerns the refusal of authorisation of certain health claims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</si>
  <si>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 xml:space="preserve"> Food</t>
  </si>
  <si>
    <t>Protection of Human health or Safety</t>
  </si>
  <si>
    <t>United States of America</t>
  </si>
  <si>
    <t>G/TBT/N/USA/1236</t>
  </si>
  <si>
    <t>Uniform Compliance Date for Food Labeling Regulations (2 pages  in English)</t>
  </si>
  <si>
    <t>The Food and Drug Administration (FDA or we) is establishing 1 January 2020  as the uniform compliance date for food labeling regulations that are issued between 1 January 2017  and 31 December 2018. We periodically announce uniform compliance dates for new food labeling requirements to minimize the economic impact of label changes.</t>
  </si>
  <si>
    <t>Food labeling</t>
  </si>
  <si>
    <t xml:space="preserve"> ICS codes: 67.040 </t>
  </si>
  <si>
    <t>Prevention of deceptive practices and consumer protection</t>
  </si>
  <si>
    <t>Korea  Republic of</t>
  </si>
  <si>
    <t>G/TBT/N/KOR/694</t>
  </si>
  <si>
    <t>Proposed Amendments for "Standards and Specifications of Health Functional Foods" (22 pages  available in Korean)</t>
  </si>
  <si>
    <t>The main proposed amendment of the "Standards and Specifications of Health Functional Foods" as the following:Adds a definition of "film" to the sub article 5Definition and types of productsRevises the definition of functional raw ingredient in common standard and specification : from ?processed raw ingredients from animal  plant and microorganism? to ?processed raw ingredients from animal  plant  microorganism  and water  etc.Expands the scope of applicants who are qualified to use functional ingredients: - Revises the qualification to use functional ingredients recognized under the Regulation on Approval of Functional Ingredients for Health Functional Food from "business operators with certification" to "people with certification" Adds&amp;nbsp edible insects to the list of food ingredients which can be used as raw materials of ProteinAdds test methods for film-type functional ingredients and Propolis extracts (p- coumaric acid)</t>
  </si>
  <si>
    <t>Health functional food products</t>
  </si>
  <si>
    <t>Prevention of deceptive practices and consumer protection  Protection of Human health or Safety</t>
  </si>
  <si>
    <t>Thailand</t>
  </si>
  <si>
    <t>G/TBT/N/THA/471/Rev.1</t>
  </si>
  <si>
    <t>Draft Control of Marketing of Infant and Young Child Food B.E. ... (12 pages  in Thai)</t>
  </si>
  <si>
    <t>This Draft Act controls the marketing of infant and young child food according to the rules and agreement written in the International Code of Marketing of Breast-Milk Substitutes and relevant resolutions adopted by Member states of World Health Organization during World Health Assembly. It is composed of 4 chapters 47 sections.1.&amp;nbsp  In this Act:"Infant" means a child from birth to the age of 12 months."Young child" means a child aged over 12 months to 3 years (36 months). "Food for infant and young child" means (1) milk or other food containing appropriate and adequate nutrients for feeding infants and young children and which is registered under the Food Act  and (2) other food intended for feeding infants and young children as prescribed by the Minister on the advice of the Committee"Supplementary food for Infants and Young Children" means food used as nutrient supplementary or to build up familiarity to food for infants over 6 months of age or young children and which is registered under the Food Act.2.&amp;nbsp  The Committee on the Control of Marketing of Infant and Young Child Food shall be established and composed of the government  academic  and NGOs representatives3.&amp;nbsp  In regards to Food for infant and young child  manufacturers  importers  and distributors are not allowed  to (1) advertise  (2) give out discount coupons or tied products or offering exchanges  discounts  prizes  gifts or other incentives to induce sale  (3) give out samples  (4) give out the Food for Infants and Young Children or any other things to pregnant women  mothers of infants or young children  or family members  (5) approach pregnant women or mothers of infants or young children  to promote  encourage  or recommend to use the Food for Infants and Young Children.4.&amp;nbsp  In providing information about the Food for Infants and Young Children  Manufacturers  importers or distributors must use the same wording as appears on the labels of the Food for Infants and Young Children as registered under the law on food without any claims about nutrition and health  and must include&amp;nbsp  (1) information regarding the &amp;nbsp &amp;nbsp approximate financial cost and the quantities  &amp;nbsp for using the Food for Infants and Young Children  and (2) warning against inappropriate preparation or use of the Food for Infants and Young Children. The rules  procedures and conditions for the provision of the information  as well as the channels for providing information shall be as prescribed by the Minister on the advice of the Committee. 5.&amp;nbsp  In regards to the Supplementary food for Infant and Young Children  manufacturers  importers or distributors must not engage in the following marketing practices inside the health facilities: (1) Giving out discount coupons or tied products or offering exchanges  discounts  prizes  gifts or other incentives  (2) Giving out samples of the supplementary food. Manufacturers  importers or distributors are also prohibited from doing the marketing of the Supplementary food to pregnant women or mothers of infants under 6 months of age  6.&amp;nbsp  In regards to both Food for Infants and Young Children and the Supplementary food for Infant and Young Children  Manufacturers  importers or distributors are prohibited from (1) providing equipment that bear the name  mark or symbol of the products to the health service providers  (2) giving or offering gifts  money  incentives or any other benefits to the public health personnel  with exception according to the "customary giving" rules  (3) sponsoring the event or &amp;nbsp conference or academic seminars on food for infants and young children for health personnel  the public health personnel  pregnant women or mothers of infants or young children  with exception of the funding for the Public Health Profession Organizations  (4) demonstrating or supporting the demonstration of the use of the Food and Supplementary food for Infants and Young Children in health facilities.7.&amp;nbsp  Violation of Section 14 regarding the advertisement of Food for Infant and Young Children shall be liable to imprisonment  or fines  or both. Any person who fails to comply with other sections shall be liable to a fine. 8. This Act shall come into force 180 days following the date of its publication in the Government Gazette.</t>
  </si>
  <si>
    <t>Infant and young child food (HS: Code: 0401  0402) (ICS: 67.100.10). Milk and cream  not concentrated nor containing added sugar or other sweetening matter (HS: 0401)  Milk and cream  concentrated or containing added sugar or other sweetening matter (HS: 0402)</t>
  </si>
  <si>
    <t xml:space="preserve"> ICS codes: 67.100.10  HS codes: 0402  0401 </t>
  </si>
  <si>
    <t>Turkey</t>
  </si>
  <si>
    <t>G/TBT/N/TUR/84</t>
  </si>
  <si>
    <t>Regulation on Food Irradiation (9 pages  in Turkish)</t>
  </si>
  <si>
    <t>The objective of this Regulation is to determine the procedures and principles related to the placing on the market  official controls  importation and exportation of foods and food ingredients treated with ionising radiation at the irradiation facilities.</t>
  </si>
  <si>
    <t>Bulbs  roots  tubers  Fresh fruits and vegetables  Cereals and their milled products  nuts  oil seeds  pulses dried vegetables and dried fruits  Raw fish  shellfish and their products (fresh or frozen)  frozen frog leg  Poultry meat and red meat and their products (fresh or frozen)  Dry vegetables  spices  dry herbs  condiments and botanic teas  Dried food of animal origin</t>
  </si>
  <si>
    <t>Brazil</t>
  </si>
  <si>
    <t>G/TBT/N/BRA/699</t>
  </si>
  <si>
    <t>Draft Technical Resolution Nº 272  8 November 2016  regarding the use of additives and technology supporting in food (3 pages  in Portuguese)</t>
  </si>
  <si>
    <t xml:space="preserve">Draft Technical Resolution N° 272  8 November 2016  regarding the use of additives and technology supporting in food.This Draft Resolution authorizes the use of additives and technology supporting in different classes of food and includes them in some Anvisa's regulations. </t>
  </si>
  <si>
    <t>Food</t>
  </si>
  <si>
    <t>Israel</t>
  </si>
  <si>
    <t>G/TBT/N/ISR/936</t>
  </si>
  <si>
    <t>Protection of public health regulations (food) (import of regular food) 5776-2016 (21 pages  in Hebrew)</t>
  </si>
  <si>
    <t>New proposed regulations announced by Israel's Ministry of Health titled "Regulations for the protection of public health (Food) (Import of regular food) 5776-2016". These regulations follow the new "Protection of public health law (Food) 5776-2015" that entered into force on 30 September 2016. Chapter D of the law reforms Israel's regular food importation regime. It facilitates import procedures and aims to allow for a faster release of imported food to the market. These proposed regulations complete the import legislation procedure by replacing the current Ministry of Health Order # 05-007 titled "Import of conventional food - Pre-registration and release from quarantine and customs" and providing instead a set of online forms for importing regular food.The regulations include the following:Chapter A: Definitions Chapter B: General - Obligation to label food on delivery and documentations Chapter C: Declaration for regular food import - Submission  announcement of a change and payment of the relevant fee Chapter D: Arrangement of the release of regular food from quarantine - submission of an importer's request  submission of a customs agent's request  payment of the relevant fee  delivery examination and submission of documentation Chapter E: Bank guarantee Chapter F: Keeping documentation  Chapter G: Different provisions - Entry into force  scope and transition period.These regulations will enter into force on publication in Israel's Official Gazette  except for regulations 4(e)  9(b) and 10(b)  which will enter into force on 1 January 2017.</t>
  </si>
  <si>
    <t>G/TBT/N/KOR/691</t>
  </si>
  <si>
    <t>Proposed Amendments for "Standards and Specifications of Health Functional Foods" (16 pages  in Korean)</t>
  </si>
  <si>
    <t>Amends the requirement of adding functional ingredients in "Standards and Specifications of Health Functional Foods": The functional ingredients recognized under the Regulation on Approval of Functional Ingredients for Health Functional Food can be added to the Code in case six years have passed from the date of recognition as functional ingredient  and 50 over the item manufacturing reportAdds health claims of some functional ingredients: Red ginseng  Chlorella  Edible oil containing EPA &amp;amp  DHA  Edible oil containing gamma-linoleic acid  Probiotics Clarifies some part of the standards and specifications for some functional ingredients: Edible oil containing EPA &amp;amp  DHA  Hyaluronic acid</t>
  </si>
  <si>
    <t>Consumer information  Labelling  Protection of animal or plant life or health</t>
  </si>
  <si>
    <t>G/TBT/N/KOR/690</t>
  </si>
  <si>
    <t>Proposed Revision of the "Labelling Standards for Foods" (52 pages  in Korean)</t>
  </si>
  <si>
    <t>The main proposed amendments of the "Labelling Standards for Foods" is as the following: Definition of honey from sugar-fed bees should be labelled with over 12 pt font size on the principal display panel.Provision of labelling both cautions and contents of flaxseed-used products has been established.Labelling standard of enzyme contents of enzyme food has been established.Labelling target of both a name defined in the Food Additives Code and contents of food additives has been changed from chemical synthetics to complex ingredient.A provision has been established not only to observe the Food Labelling Standards but to observe other regulations of ingredient labelling method.Labelling of "for adults only" is needed if the food except liquor is labelled as "Non-alcoholic"  "alcohol free" or "no alcohol added". And "less than 1% of ethanol is added" should also be labelled if the food is labelled as non-alcoholic.</t>
  </si>
  <si>
    <t>Consumer information  Labelling  Protection of Human health or Safety</t>
  </si>
  <si>
    <t>G/TBT/N/TUR/83</t>
  </si>
  <si>
    <t>Turkish Food Codex Communiqué on the Methods of Sampling and Analysis for the Control of the Levels of Trace Elements and Processing Contaminants in Foodstuffs (11 pages  in Turkish)</t>
  </si>
  <si>
    <t>This&amp;nbsp Communiqué lays down criteria for methods of&amp;nbsp sampling and analysis for the official control of the levels of lead  cadmium  mercury  inorganic tin  inorganic arsenic  3-MCPD and polycyclic aromatic hydrocarbons ("PAH") &amp;nbsp listed in the Turkish Food Codex Regulation on contaminants.</t>
  </si>
  <si>
    <t>Foodstuffs</t>
  </si>
  <si>
    <t>G/TBT/N/KOR/686</t>
  </si>
  <si>
    <t>Proposed Amendments for "Regulations for Re-assessement of Functional Ingredients"(13 pages  available in Korean).</t>
  </si>
  <si>
    <t xml:space="preserve">The main proposed amendment of the ?Regulations for Re-assessement of Functional Ingredients? as the following This regulation is pursuant to Article 15(2) of the "Functional Health FoodsAct" and Article20(3) of the Enforcement Rules of the Act  to establish the requirements for the standards  methods  procedures  etc. of reviewing and assessing the safety and functionality of functional ingredients (including final products) that have been previously identified  as well as of health functional foods  to the latest scientific level.To set forth conditions and methods of re-assessment of functional ingredients To determine matters related to the publishing of re-assessment results&amp;nbsp &amp;nbsp &amp;nbsp &amp;nbsp &amp;nbsp - Related data of functionality contents  including the human study  cases collected through distribution  literature information  etc. &amp;nbsp &amp;nbsp &amp;nbsp &amp;nbsp &amp;nbsp  &amp;nbsp &amp;nbsp &amp;nbsp &amp;nbsp  -&amp;nbsp Related data of safety  including adverse event  toxicological data  cases collected through distribution  literature information  etc.To determine the scope of data of functional ingredients needed to be submitted for their re-assessment&amp;nbsp  To determine matters needed to be taken into account in examining draft proposals for re-assessment&amp;nbsp </t>
  </si>
  <si>
    <t>G/TBT/N/EU/417</t>
  </si>
  <si>
    <t>Draft Commission Directive amending Directive 2001/18/EC of the European Parliament and of the Council as regards the environmental risk assessment of genetically modified organisms (4 pages + 15 pages of annex  in English)</t>
  </si>
  <si>
    <t xml:space="preserve">This draft Directive updates certain annexes to Directive 2001/18/EC as regards the environmental risk assessment of GMOs  in order to adapt them to technical progress and in the light of the Guidance documents of the European Food safety Authority concerning the environmental risk assessment of genetically modified plants. The list of information that notifiers must provide under Directive 2001/18/EC is also updated accordingly. </t>
  </si>
  <si>
    <t>Genetically modified organisms intended for deliberate release into the environment  including genetically modified food and feed</t>
  </si>
  <si>
    <t>Protection of Human health or Safety  Protection of animal or plant life or health  Protection of the environment</t>
  </si>
  <si>
    <t>Slovenia</t>
  </si>
  <si>
    <t>G/TBT/N/SVN/100</t>
  </si>
  <si>
    <t>Rules on the quality of edible salt (4 pages  in Slovenian)</t>
  </si>
  <si>
    <t>Rules prescribe the conditions of quality  labelling and determining of conformity  which shall be met in the production and trade of salt for food and food production.</t>
  </si>
  <si>
    <t>ICS: 67.220</t>
  </si>
  <si>
    <t xml:space="preserve"> ICS codes: 67.220 </t>
  </si>
  <si>
    <t>Chinese Taipei</t>
  </si>
  <si>
    <t>G/TBT/N/TPKM/251</t>
  </si>
  <si>
    <t>Public Notice (food No.1051301491) issued by Ministry of Health and Welfare: "Draft Amendment to Food Businesses Shall Establish Traceability System of Food Products" (8 pages  in English  6 pages  in Chinese)</t>
  </si>
  <si>
    <t>According to article 9 of the Act Governing Food and Safety Sanitation  the MOHW shall regulate the designated food businesses to establish traceability system in order to trace the source and track the flow. Since 2014  the MOHW has designated 19 categories of food businesses to establish their own traceability system. Based on risk evaluation and food safety consideration  this draft amendment will add 3 more categories (namely egg products  edible vinegars and infant foods) of food businesses to establish the traceability system.&amp;nbsp  Besides  to strengthen the management of food additives products  the implementation date of requirements for certain scales of food additives importers and manufacturers with business registration  company registration or factory registration to use electronic uniform invoices will advance from 1 January 2019 to 1 January 2018.</t>
  </si>
  <si>
    <t>Food additives  egg products  edible vinegars and infant foods</t>
  </si>
  <si>
    <t>Consumer information  Labelling</t>
  </si>
  <si>
    <t>G/TBT/N/EU/413</t>
  </si>
  <si>
    <t>Draft Commission Implementing Regulation authorising a health claim made on foods  other than those referring to the reduction of disease risk and to children's development and health and amending Regulation (EU) No 432/2012 (4 pages + 2 pages of annex  in English)</t>
  </si>
  <si>
    <t>This draft Commission Implementing Regulation concerns the authorisation of one health claim made on foods  other than those referring to the reduction of disease risk and to children's development and health in accordance with Article 18(4) of Regulation (EC) No 1924/2006 of the European Parliament and of the Council of 20 December 2006 on nutrition and health claims made on foods.</t>
  </si>
  <si>
    <t xml:space="preserve">Food </t>
  </si>
  <si>
    <t>G/TBT/N/EU/412</t>
  </si>
  <si>
    <t>Draft Commission Regulation refusing to authorise a health claim made on foods  other than those referring to the reduction of disease risk and to children's development and health (3 pages + 2 pages of annex  in English)</t>
  </si>
  <si>
    <t>This draft Commission Regulation concerns the refusal of authorisation of a health claim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</si>
  <si>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G/TBT/N/KOR/682</t>
  </si>
  <si>
    <t>Proposed Revision of the "Regulation for Designation of Certification·Assurance Agency in Foods and Animal products" (25 pages  available in Korean)</t>
  </si>
  <si>
    <t>The main proposed amendments of the "Regulation for Designation of Certification·Assurance Agency in Foods and Animal products" is as the following: a) Specify the types of advertisements and labelling authorised and guaranteed by the foreign review boardsb) Clarify roles and responsibilities of review committee and improve the way it is managedc) Specify requirements for applicantsd) The number of required documents can be simplified in accordance with the types of applicantse) Authorization boards supervised by foreign governments or foreign government agencies can be exempted from the screening process</t>
  </si>
  <si>
    <t>Foods  livestock products</t>
  </si>
  <si>
    <t>G/TBT/N/TUR/79</t>
  </si>
  <si>
    <t>Turkish Food Codex Regulation on Specifications for Food Additives (16 pages  in Turkish)</t>
  </si>
  <si>
    <t>The purpose of this regulation is to specify the specifications for food additives</t>
  </si>
  <si>
    <t>Specifications for food additives</t>
  </si>
  <si>
    <t>South Africa</t>
  </si>
  <si>
    <t>G/TBT/N/ZAF/151/Rev.1</t>
  </si>
  <si>
    <t>Regulations relating to the reduction of sodium in certain foodstuffs and related matters: Amendment (Government Notice R. 889 of 6 September 2016) (4 pages  in English)</t>
  </si>
  <si>
    <t>The Regulations provide for the reduction&amp;nbsp of sodium in foodstuffs to comply with the implementation of the (a) Global&amp;nbsp &amp;nbsp  Strategy on Diet  Physical Activity and Health  and (b) Global strategy for the prevention and control of non-communicable&amp;nbsp &amp;nbsp  diseases  as well as related matters (labelling)  as outlined&amp;nbsp in these regulations.</t>
  </si>
  <si>
    <t>Foodstuffs containing sodium</t>
  </si>
  <si>
    <t xml:space="preserve"> ICS codes: 67 </t>
  </si>
  <si>
    <t>G/TBT/N/ZAF/204/Rev.1</t>
  </si>
  <si>
    <t>Regulations Governing Tolerances for Fungus-Produced Toxins in Foodstuffs: Amendment (2 pages  in English)</t>
  </si>
  <si>
    <t>The Regulation makes provision for the Maximum Levels of Fungus-Produced Toxins in Foodstuffs under the control of the Department of Health  in terms of the Foodstuffs  Cosmetics and Disinfectants Act  1972 (Act 54 of 1972)</t>
  </si>
  <si>
    <t>Preparations of meat  of fish or of crustaceans  molluscs or other aquatic invertebrates (HS: 16)  Sugars and sugar confectionery (HS: 17)  Cocoa and cocoa preparations (HS: 18)  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 (HS: 1901)  Pasta  whether or not cooked or stuffed (with meat or other substances) or otherwise prepared  such as spaghetti  macaroni  noodles  lasagne  gnocchi  ravioli  cannelloni  couscous  whether or not prepared (HS: 1902)  Tapioca and substitutes there for prepared from starch  in the form of flakes  grains  pearls  siftings or in similar forms (HS: 1903)  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(HS: 1904)  Bread  pastry  cakes  biscuits and other bakers' wares  whether or not containing cocoa  communion wafers  empty cachets of a kind suitable for pharmaceutical use  sealing wafers  rice paper and similar products (HS: 1905)  Vegetables  fruit  nuts and other edible parts of plants  prepared or preserved by vinegar or acetic acid (HS: 2001)  Tomatoes prepared or preserved otherwise than by vinegar or acetic acid (HS: 2002)  Mushrooms and truffles  prepared or preserved otherwise than by vinegar or acetic acid (HS: 2003)  Other vegetables prepared or preserved otherwise than by vinegar or acetic acid  frozen  other than products of heading 20.06 (HS: 2004)  Other vegetables prepared or preserved otherwise.</t>
  </si>
  <si>
    <t xml:space="preserve"> HS codes: 1903  1902  1901  16  1904  1905  18  17 </t>
  </si>
  <si>
    <t>G/TBT/N/TPKM/246</t>
  </si>
  <si>
    <t>Draft Amendment to the food businesses which import food and genetically modified food raw materials shall keep the relevant records  documents and electronic files or databases of the imported products (2 pages  in English  2 pages  in Chinese)</t>
  </si>
  <si>
    <t>Based on Article 32 of the Act Governing Food Safety and Sanitation  the FDA intends to amend the items of required information that need to be kept by the food businesses which import food and genetically modified food raw materials.</t>
  </si>
  <si>
    <t>Imported food and related products</t>
  </si>
  <si>
    <t>G/TBT/N/EU/408</t>
  </si>
  <si>
    <t>Draft Commission Regulation refusing to authorise certain health claims made on foods  other than those referring to the reduction of disease risk and to children's development and health (3 pages + 2 pages of annex  in English)</t>
  </si>
  <si>
    <t>Japan</t>
  </si>
  <si>
    <t>G/TBT/N/JPN/535</t>
  </si>
  <si>
    <t>Overview of Revisions to the Japanese Agricultural Standards for Organic Processed Foods (1 page  in English)</t>
  </si>
  <si>
    <t>The Japanese Agricultural Standards for Organic Processed foods will be revised as follows:(1) To add powdered cellulose as permitted substances for food additives(2) To add extract from geranium and citronella as permitted substances for chemical agents</t>
  </si>
  <si>
    <t>Organic processed foods</t>
  </si>
  <si>
    <t>Protection of Human health or Safety  Protection of the environment</t>
  </si>
  <si>
    <t>India</t>
  </si>
  <si>
    <t>G/TBT/N/IND/56</t>
  </si>
  <si>
    <t>Textiles - High Density Polyethylene and Polypropylene Woven Sacks for Packaging or Filling (Quality Control) Order  2016 (4 pages  in English)</t>
  </si>
  <si>
    <t>This Order seeks to ensure conformity to High Density Polyethylene (HDPE)&amp;nbsp / Polypropylene (PP) Woven Sacks for Packaging / Filling listed in the Schedule to the specified Indian Standards.</t>
  </si>
  <si>
    <t>IS 14887: Textiles - High Density Polyethylene (HDPE) / Polypropylene (PP) Woven Sacks for packaging of 50 kg Foodgrains (HS Code 39232100/39232990)    IS 16208: Textiles - High Density Polyethylene (HDPE) / Polypropylene (PP) Woven Sacks for packaging 10 kg  15 kg  20 kg  25 kg and 30 kg Foodgrains (HS Code 39232100/39232990)    IS 14968: Textiles - High Density Polyethylene (HDPE) / Polypropylene (PP) Woven Sacks for packaging 50 kg / 25 kg Sugar (HS Code 39232100/39232990)    IS 14252: Textiles - High Density Polyethylene (HDPE) / Polypropylene (PP) Woven Sacks for filling Sand  (HS Code 39232100/39232990)</t>
  </si>
  <si>
    <t xml:space="preserve"> HS codes: 392321  392329 </t>
  </si>
  <si>
    <t>Protection of Human health or Safety  Quality requirements</t>
  </si>
  <si>
    <t>Peru</t>
  </si>
  <si>
    <t>G/TBT/N/PER/89</t>
  </si>
  <si>
    <t xml:space="preserve"> HS codes: 0402  0209  0307  0406  0401  200560  210420  190520  210690  200580  0802  190190  1704  0405  190510  040310  040690  0306  190220  160220  160239  170230  190420  160100  160232  160250  040590  1604  151790  2103  2009  200600  200570  190590  200520  170220  190531  210330  210410  210390  200799  220290  200559  190490  190540  160290  180632  210310  1806  151710  180631  170410  210320  200791  170290  170490  210500  220210  1701  160210  040299 </t>
  </si>
  <si>
    <t>G/TBT/N/ZAF/211</t>
  </si>
  <si>
    <t>Draft Regulations relating to Maximum Levels of Metals in Foodstuffs (9 pages  in English)</t>
  </si>
  <si>
    <t>The proposed Regulation makes provision for the Maximum Levels of Metals in Foodstuffs under the control of the Department of Health  in terms of the Foodstuffs  Cosmetics and Disinfectants Act  1972 (Act 54 of 1972)</t>
  </si>
  <si>
    <t>Preparations of meat  of fish or of crustaceans  molluscs or other aquatic invertebrates (HS: 16)  Sugars and sugar confectionery (HS: 17)  Cocoa and cocoa preparations (HS: 18)  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 (HS: 1901)  Pasta  whether or not cooked or stuffed (with meat or other substances) or otherwise prepared  such as spaghetti  macaroni  noodles  lasagne  gnocchi  ravioli  cannelloni  couscous  whether or not prepared (HS: 1902)  Tapioca and substitutes there for prepared from starch  in the form of flakes  grains  pearls  siftings or in similar forms. (HS: 1903)  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(HS: 1904)  Bread  pastry  cakes  biscuits and other bakers' wares  whether or not containing cocoa  communion wafers  empty cachets of a kind suitable for pharmaceutical use  sealing wafers  rice paper and similar products (HS: 1905)  Vegetables  fruit  nuts and other edible parts of plants  prepared or preserved by vinegar or acetic acid (HS: 2001)  Tomatoes prepared or preserved otherwise than by vinegar or acetic acid (HS: 2002)  Mushrooms and truffles  prepared or preserved otherwise than by vinegar or acetic acid (HS: 2003)  Other vegetables prepared or preserved otherwise than by vinegar or acetic acid  frozen  other than products of heading 20.06 (HS: 2004)  Other vegetables prepared or preserved otherwise  Food technology (ICS: 67)  Food products in general (ICS: 67.040)</t>
  </si>
  <si>
    <t>G/TBT/N/ZAF/210</t>
  </si>
  <si>
    <t>(1) Regulations Governing Tolerances for Fungus-Produced Toxins in Foodstuffs: Amendment (2 pages  in English)</t>
  </si>
  <si>
    <t>Preparations of meat  of fish or of crustaceans  molluscs or other aquatic invertebrates (HS: 16)  Sugars and sugar confectionery (HS: 17)  Cocoa and cocoa preparations (HS: 18)  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 (HS: 1901)  Pasta  whether or not cooked or stuffed (with meat or other substances) or otherwise prepared  such as spaghetti  macaroni  noodles  lasagne  gnocchi  ravioli  cannelloni  couscous  whether or not prepared. (HS: 1902)  Tapioca and substitutes there for prepared from starch  in the form of flakes  grains  pearls  siftings or in similar forms. (HS: 1903)  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(HS: 1904)  Bread  pastry  cakes  biscuits and other bakers' wares  whether or not containing cocoa  communion wafers  empty cachets of a kind suitable for pharmaceutical use  sealing wafers  rice paper and similar products. (HS: 1905)  Vegetables  fruit  nuts and other edible parts of plants  prepared or preserved by vinegar or acetic acid. (HS: 2001)  Tomatoes prepared or preserved otherwise than by vinegar or acetic acid. (HS: 2002)  Mushrooms and truffles  prepared or preserved otherwise than by vinegar or acetic acid. (HS: 2003)  Other vegetables prepared or preserved otherwise than by vinegar or acetic acid  frozen  other than products of heading 20.06. (HS: 2004)  Other vegetables prepared or preserved otherwise  Food technology (ICS: 67)  Food products in general (ICS: 67.040)</t>
  </si>
  <si>
    <t xml:space="preserve"> ICS codes: 67  67.040  HS codes: 0403  0402  16  2003  2004  18  17  1905  0401  1903  0404  1904  1901  2001  2002  1902 </t>
  </si>
  <si>
    <t>G/TBT/N/TPKM/185/Rev.2</t>
  </si>
  <si>
    <t>Public Notice (Food No. 1051302355) issued by the Ministry of Health and Welfare: Revised Draft for Regulations Governing the Labelling of Special Dietary Foods for Patients (3 pages  in English  2 pages  in Chinese)</t>
  </si>
  <si>
    <t>Due to comments received by the FDA  the draft "Regulations governing the labelling of special dietary foods for patients"  previously notified through G/TBT/N/TPKM/185/Rev.1 on 18 February 2016  has been partially amended (as attachment). The previous version has been replaced by this new draft  which will come into effect on 1 January 2017. Please note that the name of this regulation will be modified from "Regulations governing the labeling of special dietary foods for patients" to "Regulations governing the labeling of formula for certain disease" after adoption.</t>
  </si>
  <si>
    <t>Special dietary foods for patients</t>
  </si>
  <si>
    <t>Consumer information  Labelling  Prevention of deceptive practices and consumer protection</t>
  </si>
  <si>
    <t>Yemen</t>
  </si>
  <si>
    <t>G/TBT/N/ARE/337#G/TBT/N/BHR/457#G/TBT/N/KWT/339#G/TBT/N/OMN/277#G/TBT/N/QAT/453#G/TBT/N/SAU/959#G/TBT/N/YEM/59</t>
  </si>
  <si>
    <t xml:space="preserve">The Cooperation Council for the Arab States of the Gulf Technical Regulation for "Recycled Plastic Materials and Articles Intended to Come Into Contact with Food" (8 pages  in Arabic)    </t>
  </si>
  <si>
    <t>This draft technical regulation is concerned with manufacturing process for recycled plastic materials and articles intended for use in contact with food.</t>
  </si>
  <si>
    <t>Materials and articles in contact with foodstuffs (ICS: 67.250)</t>
  </si>
  <si>
    <t xml:space="preserve"> ICS codes: 67.250 </t>
  </si>
  <si>
    <t>G/TBT/N/ARE/336#G/TBT/N/BHR/456#G/TBT/N/KWT/338#G/TBT/N/OMN/276#G/TBT/N/QAT/452#G/TBT/N/SAU/958#G/TBT/N/YEM/58</t>
  </si>
  <si>
    <t>The Cooperation Council for the Arab States of the Gulf Draft Technical Regulation for "Soy Sauce" (6 pages  in English  7 pages  in Arabic)</t>
  </si>
  <si>
    <t>This draft technical regulation specifies the requirements for salty soy sauce  light soy sauce and dark (thick) soy sauce produced by the fermentation process.</t>
  </si>
  <si>
    <t>Food products in general (ICS: 67.040)</t>
  </si>
  <si>
    <t>Indonesia</t>
  </si>
  <si>
    <t>G/TBT/N/IDN/110</t>
  </si>
  <si>
    <t>Regulation of the Chairman of NADFC RI No.14 of 2016 on The Safety and Quality Standard of Alcoholic Beverages  (16 pages  in Indonesian)</t>
  </si>
  <si>
    <t>This regulation regulates safety and quality standard  labelling and advertising of alcoholic beverages.Alcoholic beverages distributed in Indonesia both domestically or imported shall meet specified safety standard  quality standard  labelling and advertising in accordance with the provisions of this draft regulation. Safety standard included:1.Maximun level of the methanol content2.Microbial contaminations3.Chemical contaminations4.Food additivesMaximum level of the methanol in alcohol beverages is not more than 0.01% v/v (calculated on the volume of products). The microbial contaminations  chemical contaminations and food additives conform with the provisions of the legislation.Quality standard of alcoholic beveragesare specified in Annex.The Alcoholic beverageslabelling shall declarethe informationat least  as follow:1. "Alcoholic beverages" and the type of Alcoholic beverages as defined in Regulation of the Chairman of NAFDC RI No. 1 Year 2015 on Food Category2. Prohibited to consume for under 21 years old or the pregnant woman 3. Contained alcohol + .... % v/vThe information above shall be written in Bahasa.Alcoholic beverages are prohibited to be advertised in any mass media.</t>
  </si>
  <si>
    <t>Costa Rica</t>
  </si>
  <si>
    <t>G/TBT/N/CRI/162</t>
  </si>
  <si>
    <t>Reglamento Técnico Centroamericano RTCA 67.06.74:16 Productos Agropecuarios Orgánicos. Requisitos para la Producción  el Procesamiento  la Comercialización  la Certificación y el Etiquetado (66 páginas en español)</t>
  </si>
  <si>
    <t>Este Reglamento establece las disposiciones y procedimientos que regulan la producción  registro  certificación  procesamiento  etiquetado  almacenamiento  transporte y comercialización de productos agropecuarios orgánicos. Aplica a los siguientes productos que llevan o se pretende que lleven un etiquetado descriptivo relativo a métodos de producción orgánica.Se considerará que un producto lleva indicaciones referentes a métodos de producción orgánica cuando en la etiqueta o en la declaración de propiedades  incluido el material publicitario y los documentos comerciales  se describan el producto o sus ingredientes mediante los términos "orgánico"  "biológico"  "ecológico" u otro vocablo similar reconocido internacionalmente  incluso formas abreviadas  que sugieran al comprador que el producto o sus ingredientes se han obtenido mediante métodos de producción orgánica en el país donde se han lanzado al mercado.Debe ser aplicado por todas las personas naturales o jurídicas dedicadas a la producción  procesamiento  etiquetado  almacenamiento  transporte y comercialización  de productos agropecuarios orgánicos certificados  así como&amp;nbsp  a las instancias públicas o privadas que ejerzan las labores de registro  control y/o certificación de esta producción.</t>
  </si>
  <si>
    <t>Prevention of deceptive practices and consumer protection  Protection of animal or plant life or health  Protection of the environment</t>
  </si>
  <si>
    <t>Panama</t>
  </si>
  <si>
    <t>G/TBT/N/PAN/87</t>
  </si>
  <si>
    <t>Técnico Centroamericano RTCA 67.06.74:16 Productos Agropecuarios Orgánicos. Requisitos para la Producción  el Procesamiento  la Comercialización  la Certificación y el Etiquetado (66 páginas  en español)</t>
  </si>
  <si>
    <t>Consumer information  Labelling  Protection of animal or plant life or health  Protection of the environment</t>
  </si>
  <si>
    <t>Nicaragua</t>
  </si>
  <si>
    <t>G/TBT/N/NIC/147</t>
  </si>
  <si>
    <t>Reglamento Técnico Centroamericano NTON 11 049 - 16/RTCA 67.06.74:16 Productos Agropecuarios Orgánicos. Requisitos para la Producción  el Procesamiento  la Comercialización  la Certificación y el Etiquetado (66 páginas  en español)</t>
  </si>
  <si>
    <t>El Salvador</t>
  </si>
  <si>
    <t>G/TBT/N/SLV/183</t>
  </si>
  <si>
    <t>Reglamento Técnico Centroamericano RTCA 67.06.74:16 Productos Agropecuarios Orgánicos. Requisitos para la Producción  el Procesamiento  la Comercialización  la Certificación y el Etiquetado (66 páginas  en español)</t>
  </si>
  <si>
    <t>Saudi Arabia  Kingdom of</t>
  </si>
  <si>
    <t>G/TBT/N/ARE/329#G/TBT/N/BHR/450#G/TBT/N/KWT/332#G/TBT/N/OMN/270#G/TBT/N/QAT/446#G/TBT/N/SAU/952#G/TBT/N/YEM/52</t>
  </si>
  <si>
    <t xml:space="preserve">GSO Draft System on Product Safety and Market Surveillance (30 pages  in Arabic).    </t>
  </si>
  <si>
    <t xml:space="preserve">The document describes the legal framework governing the products safetyin the GCC (Gulf Cooperation Council) member states and Yemen. The frameworkspecifies the general product safety requirements  Gulf technical regulations obligations of economic operators  notified bodies  product liability  marketsurveillance  administrative provisions  infringement procedures  andsanctions. </t>
  </si>
  <si>
    <t xml:space="preserve">All product categories except food  drugs and pharmaceutical products. </t>
  </si>
  <si>
    <t>Qatar</t>
  </si>
  <si>
    <t>Oman</t>
  </si>
  <si>
    <t>Kuwait  the State of</t>
  </si>
  <si>
    <t>Bahrain  Kingdom of</t>
  </si>
  <si>
    <t>GSO Draft System on Product Safety and Market Surveillance (30 pages  in Arabic).</t>
  </si>
  <si>
    <t xml:space="preserve">The document describes the legal framework governing the products safety in the GCC (Gulf Cooperation Council) member states and Yemen. The framework specifies the general product safety requirements  Gulf technical regulations  obligations of economic operators  notified bodies  product liability  market surveillance  administrative provisions  infringement procedures  and sanctions. </t>
  </si>
  <si>
    <t>United Arab Emirates</t>
  </si>
  <si>
    <t>Egypt</t>
  </si>
  <si>
    <t>G/TBT/N/EGY/162</t>
  </si>
  <si>
    <t>Ministerial Decree no. 244/2016 regarding the maximum residue limits of pesticides in food and feed</t>
  </si>
  <si>
    <t>The Ministerial Decree repeals (139) Egyptian standards concerning the maximum residue limits of pesticides. &amp;nbsp It mandates the use of the Maximum Residue&amp;nbsp limits listed in the Codex database "Codex Pesticides Residues in Food" issued by Codex Alimentarius&amp;nbsp Commission.In case the codex database doesn't include a certain value of Pesticides Residues or a certain agriculture product  the values listed in the EU pesticides database issued by the European Commission shall be used. &amp;nbsp If the European Commission has no adopted values  the tolerance values determined by the United States Environmental Protection Agency (EPA) shall apply.In case of the absence of the allowed maximum pesticide residue limit values for any agricultural crop or product  the maximum pesticide limit values of the nearest group of agricultural crops or products shall be used in the same sequence mentioned above.</t>
  </si>
  <si>
    <t>MRLs of pesticide residues in food and feed  pesticides and other agrochemicals in general (ICS: 65.100.01)</t>
  </si>
  <si>
    <t xml:space="preserve"> ICS codes: 65.100.01 </t>
  </si>
  <si>
    <t>Guatemala</t>
  </si>
  <si>
    <t>G/TBT/N/GTM/92</t>
  </si>
  <si>
    <t>Reglamento Técnico Centroamericano RTCA 67.06.74:16 Productos Agropecuarios Orgánicos. Requisitos para la Producción  Proceso  Comercialización  Exportación  Importación y Etiquetado. (66 páginas  en Español).</t>
  </si>
  <si>
    <t>Este Reglamento establece las disposiciones y procedimientos que regulan la producción  registro  certificación  procesamiento  etiquetado  almacenamiento  transporte y comercialización de productos agropecuarios orgánicos. Aplica a los siguientes productos que llevan o se pretende que lleven un etiquetado descriptivo relativo a métodos de producción orgánica.Se considerará que un producto lleva indicaciones referentes a métodos de producción orgánica cuando en la etiqueta o en la declaración de propiedades  incluido el material publicitario y los documentos comerciales  se describan el producto o sus ingredientes mediante los términos "orgánico"  "biológico"  "ecológico" u otro vocablo similar reconocido internacionalmente  incluso formas abreviadas  que sugieran al comprador que el producto o sus ingredientes se han obtenido mediante métodos de producción orgánica en el país donde se han lanzado al mercado.Debe ser aplicado por todas las personas naturales o jurídicas dedicadas a la producción  procesamiento  etiquetado  almacenamiento  transporte y comercialización  de productos agropecuarios orgánicos certificados  así como&amp;nbsp  a las instancias públicas o privadas que ejerzan las labores de registro  control y/o certificación de esta producción</t>
  </si>
  <si>
    <t>G/TBT/N/ARE/325</t>
  </si>
  <si>
    <t>Updating the UAE  Technical Regulation "Expiration dates for food products - Part 1: Mandatory expiration dates" (14 pages  in Arabic)</t>
  </si>
  <si>
    <t>This draft of UAEregulation&amp;nbsp is concerned with&amp;nbsp mandatory expiry periods for food products.</t>
  </si>
  <si>
    <t>Prevention of deceptive practices and consumer protection  Protection of Human health or Safety  Quality requirements</t>
  </si>
  <si>
    <t>G/TBT/N/ARE/324</t>
  </si>
  <si>
    <t>Updating the UAE Technical Regulation "Labeling of Prepackaged Food Stuffs" (20 pages  in Arabic)</t>
  </si>
  <si>
    <t>This draft of UAE technical regulation is concerned with the&amp;nbsp labelling of all prepackaged foods and to&amp;nbsp requirements&amp;nbsp relating to the presentation thereof.</t>
  </si>
  <si>
    <t>Consumer information  Labelling  Prevention of deceptive practices and consumer protection  Protection of Human health or Safety  Quality requirements</t>
  </si>
  <si>
    <t>G/TBT/N/BRA/684</t>
  </si>
  <si>
    <t>Law No. 13.305  4 July 2016 (1 page  in Portuguese)</t>
  </si>
  <si>
    <t>This Law Adds art. 19a to the Decree-Law Nº 986  21 October 1969  establishing basic rules about food  in order to turn mandatory the labelling advisory statement of food containing lactose  as well as food labels whose lactose original content has been changed shall inform the remaining lactose content.</t>
  </si>
  <si>
    <t>All foods containing originally lactose or food that have been altered and contain residual lactose</t>
  </si>
  <si>
    <t>G/TBT/N/KOR/661</t>
  </si>
  <si>
    <t>Proposed Draft Amendment of Special Act on Safety Control of Children's Dietary (4 pages  in Korean).</t>
  </si>
  <si>
    <t>The proposed amendment mandates high-calories low-nutrients foods to be labelled by manufacturers  processors  and importers.</t>
  </si>
  <si>
    <t>Foods</t>
  </si>
  <si>
    <t>New Zealand</t>
  </si>
  <si>
    <t>G/TBT/N/NZL/75</t>
  </si>
  <si>
    <t xml:space="preserve">Assessment summary for Proposal P1026 – Lupin as an Allergen (22 pages  in English)    </t>
  </si>
  <si>
    <t>This Proposal seeks to amend the Australian New Zealand Food Standards Code to require declaration of lupin (for example via labelling) when present in food due to its allergenicity potential.In order to manage the potential risk of consumption of lupin and lupin-derived food products  FSANZ has prepared a draft food regulatory measure to apply the mandatory allergen requirements to lupin and lupin-derived products. It is proposed the following will be covered by the mandatory requirements:• packaged and&amp;nbsp  unpackaged food containing any form of lupin  including oil derived from lupin• the use of lupin as a processing aid or as an ingredient of a processing aid• food additives derived from or including lupin as an ingredient• the use of lupin as an ingredient of a compound ingredient.</t>
  </si>
  <si>
    <t>Foods sold in Australia and New Zealand (both imported and domestically produced) which are lupin seeds/kernels or are derived/contain ingredients derived from lupin seeds.</t>
  </si>
  <si>
    <t xml:space="preserve"> HS codes: 382490  271019  220720 </t>
  </si>
  <si>
    <t>Consumer information  Labelling  Prevention of deceptive practices and consumer protection  Protection of Human health or Safety</t>
  </si>
  <si>
    <t>G/TBT/N/TPKM/240</t>
  </si>
  <si>
    <t>Public Notice (Food No. 1051301086) issued by Ministry of Health and Welfare: Draft Regulations Governing the Product Names and Labeling of Prepackaged Coffee Creamer (Nai-jing) Products (1 page  in English  1 page  in Chinese)</t>
  </si>
  <si>
    <t xml:space="preserve">Based on the provisions of subparagraph 10 of paragraph 1 of Article 22 of the Act Governing Food Safety and Sanitation  the MOHW proposes requirement for claiming or labelling "Nai-jing" in Chinese characters on prepackaged coffee creamer products in order to offer consumers the right of choice. </t>
  </si>
  <si>
    <t>Food for human consumption</t>
  </si>
  <si>
    <t>G/TBT/N/TPKM/239</t>
  </si>
  <si>
    <t>Public Notice (Food No. 1051300894) issued by Ministry of Health and Welfare: Draft Regulations Governing the Product Names and Labeling of Prepackaged Vinegar (1 page  in English  1 page  in Chinese)</t>
  </si>
  <si>
    <t xml:space="preserve">Based on the provisions of subparagraph 10 of paragraph 1 and paragraph 2 of Article 22 of the Act Governing Food Safety and Sanitation  the MOHW proposes the labelling requirement for prepackaged vinegar to offer consumers the right of choice. </t>
  </si>
  <si>
    <t>Australia</t>
  </si>
  <si>
    <t>G/TBT/N/AUS/101</t>
  </si>
  <si>
    <t>Assessment summary for Proposal P1026 – Lupin as an Allergen (22 pages  in English)</t>
  </si>
  <si>
    <t>This Proposal seeks to amend the Australian New Zealand Food Standards Code to require declaration of lupin (for example via labelling) when present in food due to its allergenicity potential.In order to manage the potential risk of consumption of lupin and lupin-derived food products  FSANZ has prepared a draft food regulatory measure to apply the mandatory allergen requirements to lupin and lupin-derived products. It is proposed the following will be covered by the mandatory requirements:• packaged and&amp;nbsp  unpackaged food containing any form of lupin  including oil derived from lupin• the use of lupin as a processing aid or as an ingredient of a processing aid• food additives derived from or including lupin as an ingredient• the use of lupin as an ingredient of a compound ingredient</t>
  </si>
  <si>
    <t>Foods sold in Australia (both imported and domestically produced) which are lupin seeds/kernels or are derived/contain ingredients derived from lupin seeds</t>
  </si>
  <si>
    <t>G/TBT/N/EU/386</t>
  </si>
  <si>
    <t>Draft Commission Implementing Regulation amending Regulation (EC) No 1235/2008 as regards the electronic certificate of inspection for imported organic products and certain other elements  and Regulation (EC) No 889/2008 as regards the requirements for preserved or processed organic products and the transmission of information (16 pages and 10 pages of Annexes  in English).</t>
  </si>
  <si>
    <t>This draft Commission Implementing Regulation amends Regulation (EC) No 1235/2008 and Regulation (EC) No 889/2008 to introduce a system of electronic certification for imports of organic products.</t>
  </si>
  <si>
    <t xml:space="preserve">Organic agricultural products and food </t>
  </si>
  <si>
    <t>G/TBT/N/BRA/681</t>
  </si>
  <si>
    <t>Draft Technical Resolution Nº 209  20 June 2016 (Consulta Pública Nº 209  de 20 de Junho de 2016) (4 pages  in Portuguese)</t>
  </si>
  <si>
    <t>Draft Technical Resolution nº 209  20&amp;nbsp June 2016  regarding the maximum limits of contaminants as inorganic arsenic  total cadmium  total lead and inorganic tin which is tolerated in children's food. Medium-size companies have 6 (six) months to the adequacy of their products with the requirements of this Resolution. Microenterprise and small-size companies have 12 (twelve) months to the adequacy of their products to the requirements of this Resolution.</t>
  </si>
  <si>
    <t xml:space="preserve">Maximum limits of contaminants as inorganic arsenic  total cadmium  total lead and inorganic tin in children's food. </t>
  </si>
  <si>
    <t>G/TBT/N/KOR/656</t>
  </si>
  <si>
    <t>Proposal to Amend Enforcement Regulation of the Act on Testing and Inspection of Food and Drugs (55 pages  in Korean)</t>
  </si>
  <si>
    <t>This proposal seeks to documents or records related to testing and Inspection activities are stored not only in paper form  but also in electronic format.</t>
  </si>
  <si>
    <t>Testing laboratories (foods  livestock products  pharmaceutical drugs  traditional Korean medicine  medical devices  cosmetics)</t>
  </si>
  <si>
    <t>G/TBT/N/ARE/316#G/TBT/N/BHR/440#G/TBT/N/KWT/322#G/TBT/N/OMN/260#G/TBT/N/QAT/436#G/TBT/N/SAU/936#G/TBT/N/YEM/42</t>
  </si>
  <si>
    <t xml:space="preserve">GCC draft technical regulation for Food Grade Salt (16 pages  in Arabic)  </t>
  </si>
  <si>
    <t>This draft technical regulation is concerned with regulation for Food Grade Salt  which specifies the definitions of the product  and the quality requirements  sampling  methods of testing  transportation  storage and labelling.</t>
  </si>
  <si>
    <t>ICS: 67.220.20</t>
  </si>
  <si>
    <t xml:space="preserve"> ICS codes: 67.220.20 </t>
  </si>
  <si>
    <t>Protection of Human health or Safety  Protection of animal or plant life or health</t>
  </si>
  <si>
    <t>G/TBT/N/ARE/315#G/TBT/N/BHR/439#G/TBT/N/KWT/321#G/TBT/N/OMN/259#G/TBT/N/QAT/435#G/TBT/N/SAU/935#G/TBT/N/YEM/41</t>
  </si>
  <si>
    <t xml:space="preserve">GCC draft technical regulation for Edible casein and caseinates (12 pages  in Arabic)  </t>
  </si>
  <si>
    <t>This draft technical regulation is concerned with regulation for Edible casein and caseinates  which specifies the definitions of the product  and the quality requirements  sampling  methods of testing  transportation  storage and labelling.</t>
  </si>
  <si>
    <t>G/TBT/N/KOR/652</t>
  </si>
  <si>
    <t>Proposed Revision of the "Labelling Standards for Foods"  (12 pages  in Korean)</t>
  </si>
  <si>
    <t>The main proposed amendment of the "Labelling Standards for Foods" is as the following:Revised the Nutrient Reference Value (NRV) for labelling purpose:Establish the NRV of sugars to be 100gAmend the NRV of Carbohydrates (330g-324g)  Fat (51g-54g)  Vitamin D (5-10)  Chrome (50-30)</t>
  </si>
  <si>
    <t>G/TBT/N/SVN/98</t>
  </si>
  <si>
    <t>Rules on salt iodization (2 pages  in Slovenian)</t>
  </si>
  <si>
    <t>Proposal for the Regulation imposes the obligation of iodization of edable salt and includes provisions on labelling of prepackaged not iodized edible salt  advertising and marketing of not iodized edible salt.</t>
  </si>
  <si>
    <t>G/TBT/N/KOR/651</t>
  </si>
  <si>
    <t>Proposed amendments to Enforcement Rule of Food Sanitation Act (4 pages  in Korean)</t>
  </si>
  <si>
    <t>According to the amendments to Food Sanitation Act (Act No.13332  Promulgated on May 18  2015  and it is slated to come into force from 19 May 2017)  the main purposes of amendments to enforcement rule of Food Sanitation Act are to set food categories which are subject to require putting the comparative sodium content on the label by Ordinance of Prime Minister. Clause (a): The food categories for labeling the comparative sodium contentare set for noodles such as noodle(referred to "KookSoo")  cold noodles and fried noodles(only those with seasoning foods) and ready-to-eat foods such as Hamburgers and Sandwiches (Article 6-2 is newly established).</t>
  </si>
  <si>
    <t>G/TBT/N/ISR/935</t>
  </si>
  <si>
    <t>Public Health Regulations (Food) (Gluten Labelling) 5776 - 2016 (2 pages  in Hebrew)</t>
  </si>
  <si>
    <t>Draft amendment to "Public Health Regulations (Food) (Gluten Labelling)" announced by Israel Ministry of Health. The original regulations published in 1996 had set out the obligation to label food containing gluten and determined the manufacturing procedure for "gluten free" food.&amp;nbsp  The current amendment combines few changes that on the one hand expand the variety of gluten free products and on the other hand maintain safety and quality in order to protect the health of gluten intolerant consumers. The major changes introduced in this draft amendment are as follows:Updates the definition of "gluten" to fit European regulations and Codex Alimentarius standards and applies international legislation and the Mendez Eliza R5 test method.Adds a new definition for "designated factory" determining the GMP conditions for foodstuffs that do not contain gluten in their nature  such as rice  maze etc. In addition it adds a new sub-regulation 3(2)(b) determining that the fundamental condition for this type of food factories to label their products as "gluten free"  is to apply a food safety system such as HACCP or any other system used to identify  analyze and monitor critical stations along the manufacturing procedure. Adds a new sub-regulation 3(2)(c) allowing for imported food labelled as "gluten free" to be consider as a sensitive food  and as such  to be imported into Israel with an alternative GMP certificate issued by an IAF body (International Accreditation Forum). The official list of recognized bodies will be published on Israel's National Food Service's website.</t>
  </si>
  <si>
    <t xml:space="preserve">Foodstuffs (HS: Section I to IV - Chapters 1 to 24) </t>
  </si>
  <si>
    <t>Armenia</t>
  </si>
  <si>
    <t>G/TBT/N/ARM/75</t>
  </si>
  <si>
    <t>Draft amendments no 2 to the Technical Regulation of the Customs Union "Labelling of Food Products" (TR CU 022/2011) (1 page  in Russian)</t>
  </si>
  <si>
    <t>Draft amendments&amp;nbsp no 2 to the Technical Regulation of the Customs Union "Labelling of Food products" (TR CU 022/2011) specifies additional requirements for labelling of food products obtained with the use of genetically modified organisms.</t>
  </si>
  <si>
    <t>Labelling of food products obtained with the use of genetically modified organisms</t>
  </si>
  <si>
    <t>Kazakhstan</t>
  </si>
  <si>
    <t>G/TBT/N/KAZ/6</t>
  </si>
  <si>
    <t>Draft amendments No. 2 to the Technical Regulation of the Customs Union "Labelling of Food Products" (TP TC 022/2011) (1 page  in Russian)</t>
  </si>
  <si>
    <t>Draft amendments No. 2 to the Technical Regulation of the Customs Union "Labelling of Food Products" (TP TC 022/2011) specifies additional requirements for labelling of food products obtained with the use of genetically modified organisms.</t>
  </si>
  <si>
    <t>G/TBT/N/ISR/927</t>
  </si>
  <si>
    <t>SI 431 - Mayonnaise (6 pages  in English  8 pages  in Hebrew)</t>
  </si>
  <si>
    <t>Revision of the Mandatory Standard SI 431  dealing with mayonnaise. This draft standard revision adopts the European rules collection FIC Europe - Code of practice - Mayonnaise - September 2006  and therefore is significantly differ from the old standard. The major differences between the old version and this new revised draft standard are as follow:Narrows the standard's scope to include only mayonnaise and excludes any other type of water in oil emulsion spreadsAllows using other optional food ingredientsAdds to paragraph&amp;nbsp 3 dealing with food additives a reference to Israel's Public Health Regulations (Food) (Food Additives)Adds&amp;nbsp a new paragraph 5 dealing with food contaminantsAdds a new paragraph 6 dealing with hygiene and changes the microbiological requirementsThis new revised standard will&amp;nbsp enter into force 12 months after publication in Israel Official Gazette.</t>
  </si>
  <si>
    <t>Mayonnaise</t>
  </si>
  <si>
    <t xml:space="preserve"> ICS codes: 67.200.10  67.230  HS codes: 210390 </t>
  </si>
  <si>
    <t>G/TBT/N/ISR/919</t>
  </si>
  <si>
    <t xml:space="preserve">Public Health Regulations (Food) (Pesticide residues) (Amendment) 5776-2016 (112 page in Hebrew) </t>
  </si>
  <si>
    <t xml:space="preserve">Draft amendment to Israel's Ministry of Health regulations titled "Public Health Regulations (Food) (Pesticide residues) (Amendment) 5776-2016". These regulations regulate the use of pesticides and determine the maximum residue&amp;nbsp levels (MRL's) allowed in foods according to toxicological findings and the agricultural need. The regulation undergoes amendments regularly  reflecting the changing use of pesticides in Israel.&amp;nbsp  The need for updates indicates the change in the mix of materials licensed for use in food production  combined with the results of ongoing toxicological studies and newly performed risk assessments. It takes into consideration the following: new pesticides entering into use  others that are no longer in use  newly published toxicological risk assessments requiring limitations on  or even prohibition of the use of pesticides and at times  due to emerging agricultural needs  increased MRLs.&amp;nbsp This new amendment will replace the regulations' 3 annexes and will provide an amended list of pesticides MRLs. Altogether it is reassessing 45 different values.&amp;nbsp The major changes introduced in this amendment are as follows: (included in notification format)&amp;nbsp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t>
  </si>
  <si>
    <t>Pesticide residues (ICS: 67)</t>
  </si>
  <si>
    <t>Russian Federation</t>
  </si>
  <si>
    <t>G/TBT/N/RUS/69</t>
  </si>
  <si>
    <t>Draft amendments ¹ 2 to the Technical Regulation of the Customs Union «Labelling of Food Products » (ÒÐ ÒÑ 022/2011).</t>
  </si>
  <si>
    <t>Draft amendments&amp;nbsp No. 2 to the Technical Regulation of the Customs Union «Labelling of Food Products» (TP TC&amp;nbsp 022/2011) specifies additional requirements for labelling of food products obtained using of genetically modified organisms.</t>
  </si>
  <si>
    <t>Food products obtained using of genetically modified organisms</t>
  </si>
  <si>
    <t>G/TBT/N/KOR/645</t>
  </si>
  <si>
    <t>- Proposed Amendments to the Act and its enforcement decree and rule on Promotion of Environment-friendly Agriculture and Fisheries  and Management of and Support for Organic Foods  (46 pages  in Korean  13 pages  in Korean  79 pages  in Korean).</t>
  </si>
  <si>
    <t>The main amended contents in this document are as follows:A. &amp;nbsp Proposed Amendments to the Act on Promotion of Environment-friendly Agriculture and &amp;nbsp &amp;nbsp Fisheries  and Management and Support for Organic Foods- &amp;nbsp &amp;nbsp &amp;nbsp - The private certification body alone will conduct certification process which was previously conducted &amp;nbsp &amp;nbsp &amp;nbsp &amp;nbsp &amp;nbsp &amp;nbsp &amp;nbsp &amp;nbsp &amp;nbsp by both private certification body and National Agricultural Products Quality Management Service(NAQS) for the sake of fairness and equity of certification body(Article 20.1  34.3)- Separate labeling of organic food will be allowed for the sake of organic food export promotion(Article 23.3.2 3  New Act)- The official notice and quality certification system of organic agricultural and fisheries material will be integrated into ?official notice? system only(Article 37.2  42)B. Proposed Amendments to the enforcement decree of the act on Promotion of Environment-friendly Agriculture and Fisheries  and Management of and Support for Organic Foods &amp;nbsp  - Administrative authority will be commissioned to the National Agricultural Products Quality Management Service(NAQS) for the sake of consistent management of accreditation system and approved material(including organic agricultural material)( Article 5.2. 3)&amp;nbsp C.&amp;nbsp  Proposed Amendments to the enforcement &amp;nbsp rule &amp;nbsp of&amp;nbsp  the Act on Promotion of Environment-&amp;nbsp &amp;nbsp &amp;nbsp  &amp;nbsp &amp;nbsp &amp;nbsp &amp;nbsp friendly Agriculture and Fisheries  and Management and Support for Organic Foods  etc. under&amp;nbsp  &amp;nbsp &amp;nbsp &amp;nbsp &amp;nbsp &amp;nbsp &amp;nbsp ministry of agriculture  food and rural affairs &amp;nbsp  - Amendment of approved material selection standard and procedure and change to notice with regard to approved material listed in Annex 1(draft Article 3.1  3.2  Annex 1  2)&amp;nbsp - Streamline documents required for renewal(draft Article 16) &amp;nbsp - Organic agriculture material management regulation(draft Article 67)- Change to notice with regard to details of organic and agricultural chemicals-free certification standard(draft Annex3  11)</t>
  </si>
  <si>
    <t>Environment-friendly agricultural and fishery products  processed organic foods and materials for organic farming</t>
  </si>
  <si>
    <t>G/TBT/N/USA/1128</t>
  </si>
  <si>
    <t>Packaging and Pricing of Food and Nonfood Products (36 pages  in English).</t>
  </si>
  <si>
    <t>Establishes and amends rules pertaining to packaging and pricing of food and nonfood products.&amp;nbsp  The rules in this package amplify the statutory authority of the Ohio Department of Agriculture (Department) to prescribe the appropriate term or unit of weight or measure to be used for labeling  packaging  and pricing a specific product. These rules protect Ohio consumers by ensuring that food and non-food products sold in Ohio are accurately and adequately packaged and priced. 901:6-7-01 is a proposed new rule that establishes the definitions used in Chapter 9:6-7 of the Administrative Code.</t>
  </si>
  <si>
    <t>Food and non-food products</t>
  </si>
  <si>
    <t xml:space="preserve"> ICS codes: 55.020  67.230 </t>
  </si>
  <si>
    <t>G/TBT/N/KOR/644</t>
  </si>
  <si>
    <t>The Proposed Food Labelling Act (35 pages  in Korean)</t>
  </si>
  <si>
    <t>The proposed Act seeks to:Improve predictability and feasibility for industries and consumers to access relevant provisions by consolidating all provisions relating to labelling and advertising prescribed in three acts  which are Food Sanitation Act  Livestock Products sanitary Control Act  Functional Health Foods Act  and their related notifications.Repeal the current provisions on Deliberation on Labels and Advertisements regarding infant foods  specially designed foods for weight control and health foods.&amp;nbsp Satisfy consumers demand to know  and facilitate fair trade by clarifying provisions to prevent false or exaggerated labelling or advertising.</t>
  </si>
  <si>
    <t>Food products</t>
  </si>
  <si>
    <t>G/TBT/N/EU/374</t>
  </si>
  <si>
    <t>Draft Commission Regulation refusing to authorise a health claim made on foods and referring to the reduction of disease risk (3 pages + 2 pages of annex  in English)</t>
  </si>
  <si>
    <t>This draft Commission Regulation concerns the refusal of authorisation of one health claim made on foods and referring to the reduction of disease risk in accordance with Article 17(3) of Regulation (EC) No 1924/2006 of the European Parliament and of the Council of 20 December 2006 on nutrition and health claims made on foods.</t>
  </si>
  <si>
    <t>G/TBT/N/USA/1116</t>
  </si>
  <si>
    <t>Proposition 65 Bisphenol A (5 pages  in English)</t>
  </si>
  <si>
    <t>Allows temporary use of a standard point-of-sale warning message for BPA exposures from canned and bottled foods and beverages.</t>
  </si>
  <si>
    <t>Canned and bottled foods and beverages</t>
  </si>
  <si>
    <t xml:space="preserve"> ICS codes: 13.120  67.250 </t>
  </si>
  <si>
    <t>G/TBT/N/KOR/641</t>
  </si>
  <si>
    <t>Draft amendment of Labelling Standard for Genetically Modified Foods (12 pages  in Korean)</t>
  </si>
  <si>
    <t>Draft amendment announced by MFDS called Labelling Standard for Genetically Modified Foods (Notice No. 2016-150 of the MFDS  21 April 2016).To expand GM labelling requirements to any food products (including processed food products  food additives  functional health foods  livestock processing products  agricultural products  sprouts made by germination of GM agricultural products  hereinafter referred to as GM foods) that contain genetically modified DNA or genetically modified proteins.&amp;nbsp To add a clause for GM labelling exemption for highly refined food products such as sugars and oils etc. for which genetically modified DNA or genetically modified proteins are not detectable.&amp;nbsp To make labelling requirements for genetically modified agricultural products with significantly different composition profile&amp;nbsp compared to conventional counterparts  Ex) 1) Enhanced composition - Enhanced Oleic Acid Soy (e.g. Enhanced Oleic Acid GM Soy)&amp;nbsp &amp;nbsp &amp;nbsp &amp;nbsp &amp;nbsp  2) Changed composition - Stearidonic Acid Soy (e.g. Stearidonic Acid Contained GM Soy)&amp;nbsp To enlarge a font size from 10 point to 12 point.Of food products that are subject to GM labelling  if GM food is not used  that may be labelled or advertised as either "NON-GMO" or "GMO-free". In this case  the adventitious presence is not permissible (i.e. zero tolerance applies)Non GMO or GMO-free labelling or advertisement of foods that are not subject to GM labelling is prohibited in order to prevent consumers' misunderstanding and confusion.</t>
  </si>
  <si>
    <t>Food Labelling</t>
  </si>
  <si>
    <t>Uganda</t>
  </si>
  <si>
    <t>G/TBT/N/UGA/538</t>
  </si>
  <si>
    <t>Draft Uganda National Bureau of Standards (Enforcement of Compulsory Standard Specifications) Regulations  2016 (17 pages  in English)</t>
  </si>
  <si>
    <t>The draft regulations contain provisions for marking or applying&amp;nbsp  a distinctive mark on&amp;nbsp a commodity  prohibition regarding manufacture  import  storage  sale and distribution of any commodity covered by a compulsory standard specification unless the&amp;nbsp commodity conforms to the specified relevant standards or&amp;nbsp bears the distinctive mark  registration and authorization to use the distinctive mark  application of the&amp;nbsp distinctive mark on a commodity  terms of use of the distinctive mark &amp;nbsp Suspension of &amp;nbsp permit to use the distinctive mark  cancellation of permit  refusal to grant permit to use the distinctive mark  opportunity of applicant to be heard  renewal of Permit&amp;nbsp  to &amp;nbsp use the distinctive mark  surveillance audits  administrative Sanctions  fees payable  offences and penalties  and appeals.</t>
  </si>
  <si>
    <t>Reinforcing and Pre-stressing Steel for Concrete  Structural Steel Products  Roof Covering Steel Products  Cement  Building Lime and Other Hydraulic Binders  Pneumatic Tyres and Tubes for Automotive Vehicles and Trailers  Protective Safety Equipment  Gas cylinders  Valves and Regulators  Power cables and Luminaries (Lighting Equipment)  Electronic  Sound and Communication Equipment  High Risk Foods and Food Products  High Risk Chemical  Products  Personal Hygiene and Consumer Goods  Neutral spirit for manufacture of gins and alcoholic beverages  Toys  Electrical and Electronics  Automotive Products and Inputs  Chemical Products  Mechanical Materials and Gas Appliances  Textile  Leather  Plastics and Rubber  Furniture (wood and metal articles)  Paper and Stationery  Protective Safety Equipment  Food and Food Products and Used Products  including used Motor Vehicles.</t>
  </si>
  <si>
    <t>Prevention of deceptive practices and consumer protection  Protection of Human health or Safety  Protection of animal or plant life or health  Protection of the environment  Quality requirements</t>
  </si>
  <si>
    <t>G/TBT/N/KOR/636</t>
  </si>
  <si>
    <t>Proposed Amendments for "Standards and Specifications of Health Functional Foods" (118 pages  in Korean)</t>
  </si>
  <si>
    <t>The main proposed amendment of the "Standards and Specifications of Health Functional Foods"&amp;nbsp  as follows:Establish standards and specifications for each functional ingredient: - 8 functional ingredients such as Raffinose  Extract of Gelidium amansil Lamourous  Creatine  Hydrolyzed milk protein  Extract of Phellinus linteus  Extract of tomato  Extract of Amorphophallus konjac  Extract of Hovenia dulcis Thunb fruit&amp;nbsp Establish test methods for functional ingredients: - 7 test methods such as Dicyandimide  Dihydrotriazine  Creatine monohydrate  aS1casein (aS1-casein)(f91-100) &amp;nbsp  Lycopene &amp;nbsp  Glucosylceramide &amp;nbsp  QuercetinAmend the some part of the test methods&amp;nbsp  for&amp;nbsp  functional ingredients: - phospholipid (as insoluble matter in acetone)  Gamma polyglutamic acid</t>
  </si>
  <si>
    <t>Zimbabwe</t>
  </si>
  <si>
    <t>G/TBT/N/ZWE/1</t>
  </si>
  <si>
    <t>Statutory Instrument 132 of 2015  Control of Goods (Open General Import License) (Standards Assessment) Notice  2015</t>
  </si>
  <si>
    <t>Statutory Instrument No 132 of 2015 stipulates that specified products imported into the country (Zimbabwe) should be accompanied by a Certificate of Conformity. Pre-export verification of conformity of a list of products is conducted in the country of export and a Certificate of Conformity is issued based on international standards. At each port of entry the Zimbabwe Revenue Authority (ZIMRA) will require production of the certificate of Conformity for the products to enter Zimbabwe.The aim of the Consignment Based Conformity Assessment (CBCA) programme is to control the quality of imported goods in order to minimize the risk of unsafe and substandard goods entering the Zimbabwe market. Conformity Assessment programmes are put into action in accordance with the Article 5 of World Trade Organization's Technical Barriers to Trade agreement.</t>
  </si>
  <si>
    <t>The following categories of products are inspected under the CBCA Programme:  • Food and agriculture  • Building and civil Engineering  • Packaging material  • Electrical/electronic appliances   • Body care  • Automotive and transportation  • Clothing and textile  • Toys</t>
  </si>
  <si>
    <t>Prevention of deceptive practices and consumer protection  Protection of Human health or Safety  Protection of the environment  Quality requirements</t>
  </si>
  <si>
    <t>G/TBT/N/TPKM/231</t>
  </si>
  <si>
    <t>Public Notice (food No.1051300008) issued by Ministry of Health and Welfare: "Draft of the Regulations on Fluorine Labelling for Prepackaged Food Grade Salt Products"  (1 page  in English  1 page  in Chinese)</t>
  </si>
  <si>
    <t>According to Article 22 of the Act Governing Food Safety and Sanitation  the MOHW proposed to regulate Fluorine Labeling for Prepackaged Food Grade Salt Products. The information of Fluorine shall be specifically labeled on prepackaged salt products if Fluorine is added.</t>
  </si>
  <si>
    <t>Prepackaged Food Grade Salt Products</t>
  </si>
  <si>
    <t>G/TBT/N/ZAF/204</t>
  </si>
  <si>
    <t>Regulations Relating to the Fortification of Certain Foodstuffs (36 pages  in English)</t>
  </si>
  <si>
    <t>The draft regulations require the mandatory fortification of maize meal and wheat flour with vitamins and minerals (excluding those maize and wheat products as specified in the definitions for maize meal and wheat flour)</t>
  </si>
  <si>
    <t xml:space="preserve"> ICS codes: 67  HS codes: 17  1903  16  1901  18  1902  1904 </t>
  </si>
  <si>
    <t>G/TBT/N/USA/1095</t>
  </si>
  <si>
    <t>Enhanced Document Requirements and Captain Training Requirements To Support Use of the Dolphin Safe Label on Tuna Products (6 pages  in English)</t>
  </si>
  <si>
    <t>NMFS issues this interim final rule to revise regulations implementing the Dolphin Protection Consumer Information Act (DPCIA) to enhance the requirements for documentation that demonstrates the accuracy of dolphin-safe labels on tuna products. This interim final rule: (1) modifies the provisions of the regulations (referred to hereafter as the "determination provisions") under which the NMFS Assistant Administrator (Assistant Administrator) may require proof of an observer certification if the Assistant Administrator determines that a fishery has a regular and significant association between dolphins and tuna and/or has a regular and significant mortality or serious injury of dolphins  to apply equally to purse seine and other gear-type tuna fisheries  (2) provides that a government certificate validating the catch documentation  segregation  and chain of custody may be required for tuna produced from a fishery about which the Assistant Administrator has made a determination under the determination provisions  (3) restructures NOAA regulations such that they now provide for one straightforward certification regarding intentional deployment and mortality/serious injury for all fisheries that produce tuna that is potentially eligible for the dolphin-safe label  (4) modifies the Fisheries Certificate of Origin (FCO) to require captains to complete a training for certifications that must accompany the FCO  (5) enhances chain of custody tracking requirements for tuna and tuna product  and (6) makes several non-substantive modifications to the regulations. This interim final rule brings the United States into compliance with its obligations as a Member of the World Trade Organization (WTO).</t>
  </si>
  <si>
    <t>Tuna products</t>
  </si>
  <si>
    <t xml:space="preserve"> ICS codes: 65.150  67.020  67.120 </t>
  </si>
  <si>
    <t>Prevention of deceptive practices and consumer protection  Protection of the environment</t>
  </si>
  <si>
    <t>G/TBT/N/ZAF/201</t>
  </si>
  <si>
    <t>Proposed compulsory specification for live lobsters (9 pages  in English)</t>
  </si>
  <si>
    <t>This amendment requires that live lobsters  for human consumption  which are to be offered for sale  comply with this compulsory specification and the requirements of the South African National Standard (SANS) 1680 that applies to the harvesting  preparation  packing  conveyance and quality of live lobsters  rock lobsters  spiny lobsters and slipper lobsters (hereafter referred to as lobsters). It also details hygiene requirements for the product and for the packing facility employees.</t>
  </si>
  <si>
    <t xml:space="preserve"> ICS codes: 01.040.67 </t>
  </si>
  <si>
    <t>G/TBT/N/TPKM/230</t>
  </si>
  <si>
    <t>Draft Regulations Governing the Product Names and Labeling of Prepackaged Butter  Cream  Margarine and Related Products (2 pages  in English  1 page  in Chinese)</t>
  </si>
  <si>
    <t>Based on the provisions of subparagraph 10 of paragraph 1 of Article 22 of the Act Governing Food Safety and Sanitation  the MOHW proposes to announce the labeling requirements for prepackaged butter  cream  margarine and related products to offer consumers the right of choice.</t>
  </si>
  <si>
    <t>food for human consumption</t>
  </si>
  <si>
    <t>G/TBT/N/EU/370</t>
  </si>
  <si>
    <t>Draft Commission Regulation on the use of bisphenol A in varnishes and coatings intended to come into contact with food and amending Regulation (EU) No 10/2011 as regards the use of that substance in plastic food contact materials (6 pages + 3 pages of annex  in English)</t>
  </si>
  <si>
    <t>The draft regulation lowers the specific migration limit (SML) for BPA from plastic food contact materials in line with the EFSA opinion published in January 2015. It therefore amends Commission Regulation (EU) No 10/2011 on plastic materials and articles intended to come into contact with food.In addition  it applies the same SML to BPA from a varnish or coating applied to materials and articles. The notified draft also sets out the criteria for verification of compliance concerning varnishes and coatings  as well as laying down the requirements for the written declaration of compliance (DoC) for varnished or coated materials and articles.</t>
  </si>
  <si>
    <t>Materials and articles in contact with food (HS 3919  3920  3923 &amp; 3924  ICS 67.250)</t>
  </si>
  <si>
    <t xml:space="preserve"> HS codes: 3919  3920  3924  3923 </t>
  </si>
  <si>
    <t>G/TBT/N/ISR/887</t>
  </si>
  <si>
    <t>SI 885 part 20 - Microbiology test methods for foodstuffs: General (11 pages  in Hebrew)</t>
  </si>
  <si>
    <t xml:space="preserve">Revision of 14 different parts of Israel Standard SI 885 series (parts 1.1  1.2  2  3  4  6  7  8  9  12  14  18  19.1 and 19.2) to be replaced with SI 885 part 20 creating&amp;nbsp together a coordinating standard with references to other parts of SI 885 dealing with the test methods  requirements  instructions and ways to clarify the cause for food spoilage.This draft&amp;nbsp standard revision will enter into force 36 months after publication in Israel Official Gazette  Section of Government Notices. During this time all 14 existing parts will apply.&amp;nbsp </t>
  </si>
  <si>
    <t>Microbiology test methods for foodstuffs</t>
  </si>
  <si>
    <t xml:space="preserve"> ICS codes: 07.100.30 </t>
  </si>
  <si>
    <t>G/TBT/N/TPKM/229</t>
  </si>
  <si>
    <t>Draft Amendment to the Enforcement Rules of the Act Governing Food Safety and Sanitation (13 pages  in Chinese)</t>
  </si>
  <si>
    <t>The Act Governing Food Safety and Sanitation ("the Act") was amended and promulgated on 16 December 2015. The Enforcement Rules of the Act shall be revised accordingly by the FDA. The main proposed changes of the draft Amendment to the Enforcement Rules of the Act are the new labelling requirements for the imported food and food additives  food utensils  food containers or packaging and food cleansers.</t>
  </si>
  <si>
    <t>G/TBT/N/RUS/47</t>
  </si>
  <si>
    <t>Draft amendments no. 1 to the Customs Union Technical Regulation «Labelling of Foodstuffs» (CU TR 022/2011) (1 page  in Russian)</t>
  </si>
  <si>
    <t>Draft amendments&amp;nbsp no. 1 to the Customs Union Technical Regulation «Labelling of Foodstuffs» (CU TR 022/2011) establishes requirements to prevent misleading consumers by removing ambiguities in interpretation of requirements of Customs Union Technical Regulation «Labelling of Foodstuffs» (CU TR 022/2011).Draft amendments no. 1 to the Customs Union Technical Regulation «Labelling of Foodstuffs» (CU TR 022/2011) clarifies the terms "easy-to-interpret"  "easy-to-understand"  "background contrast" and other requirements.</t>
  </si>
  <si>
    <t xml:space="preserve">Food products </t>
  </si>
  <si>
    <t>G/TBT/N/USA/1079</t>
  </si>
  <si>
    <t>Labeling Foods Produced with Genetic Engineering (9 pages  in English)</t>
  </si>
  <si>
    <t xml:space="preserve">Proposed Consumer Protection Rule 121 defines the scope and reach of Act 120 of 2013(adj). It provides specifics for implementing (1) the labeling requirements for food produced with genetic engineering  (2) the prohibition on using certain terms to describe foods produced with genetic engineering and the exemptions from both the labeling requirement and prohibition. Additionally  it clarifies certain terms in the Act and further outlines the enforcement and penalty provisions of the Act. </t>
  </si>
  <si>
    <t>Foods produced with genetic engineering</t>
  </si>
  <si>
    <t xml:space="preserve"> ICS codes: 67.020  67.040 </t>
  </si>
  <si>
    <t>G/TBT/N/TPKM/185/Rev.1</t>
  </si>
  <si>
    <t>Public Notice (food No. 1041304415) issued by the Ministry of Health and Welfare: Draft for Regulations governing the labeling of special dietary foods for patients (3 pages  in English  2 pages  in Chinese)</t>
  </si>
  <si>
    <t>Due to comments received by the FDA  the draft "Regulations governing the labeling of special dietary foods for patients"  previously notified in G/TBT/N/TPKM/185 on 6 November 2014  has been partially rewritten(as attachment). The previous version has been replaced by this new draft  which will come into effect on 1 July 2016. Please note that the name of this regulation will be modified from "Regulations governing the labelLing of special dietary foods for patients" to "Regulations governing the labeling of formula for certain disease" after adoption.</t>
  </si>
  <si>
    <t>Specific dietary foods for patients</t>
  </si>
  <si>
    <t>G/TBT/N/ARE/303#G/TBT/N/BHR/431#G/TBT/N/KWT/313#G/TBT/N/OMN/245#G/TBT/N/QAT/427#G/TBT/N/SAU/918#G/TBT/N/YEM/33</t>
  </si>
  <si>
    <t>The Cooperation Council for the Arab States of the Gulf – Draft Technical Regulation for "Modified Starches" (9 pages  in Arabic)</t>
  </si>
  <si>
    <t>This draft technical regulation applies to modified starches  definitions  description  requirements  purity specifications  packaging and labelling.</t>
  </si>
  <si>
    <t>Modified starches (food grade) (ICS: 65.160)</t>
  </si>
  <si>
    <t xml:space="preserve">The Cooperation Council for the Arab States of the Gulf - Draft Technical Regulation for "Modified Starches" (9 pages  in Arabic)  </t>
  </si>
  <si>
    <t>China</t>
  </si>
  <si>
    <t>G/TBT/N/CHN/1167</t>
  </si>
  <si>
    <t>Provisions for Health Food Registration and Filing (22 pages  in Chinese)</t>
  </si>
  <si>
    <t xml:space="preserve">Responsibilities of regulatory authorities in charge of health food&amp;nbsp registration and filing  requirements  administrative procedures and legal liabilities&amp;nbsp for health food registration and filing.&amp;nbsp </t>
  </si>
  <si>
    <t>Health food</t>
  </si>
  <si>
    <t>G/TBT/N/KOR/628</t>
  </si>
  <si>
    <t>Proposed Amendments for "Standards and Specifications of Health Functional Foods" (91 pages  in Korean)</t>
  </si>
  <si>
    <t>The main proposed amendment of the "Standards and Specifications of Health Functional Foods" as the following:Amends some part of the test methods&amp;nbsp for&amp;nbsp functional ingredients: Vitamin C  astaxanthin  ginsenoside  coenzyme Q10  probiotics number  flavonol glycoside &amp;nbsp ethyl acetate  vitamin A  niacin  folic acid and vitamin B12</t>
  </si>
  <si>
    <t>Health Functional Food Products</t>
  </si>
  <si>
    <t>G/TBT/N/CHN/1168</t>
  </si>
  <si>
    <t>Provisions for Health Food Functional Claims List and Ingredients List (11 pages  in Chinese)</t>
  </si>
  <si>
    <t xml:space="preserve">Regulatory authorities for health food&amp;nbsp functional claims list and ingredients list and responsibilities  administrative procedures and required materials for list entered and&amp;nbsp revised.&amp;nbsp </t>
  </si>
  <si>
    <t>G/TBT/N/IND/53</t>
  </si>
  <si>
    <t>Draft Food Safety and Standards (Food Imports) Regulations  2016 (43 pages  in English)</t>
  </si>
  <si>
    <t xml:space="preserve">The Draft Food Safety and Standards (Food Imports) Regulations  2016 details the regulations for food imports. &amp;nbsp </t>
  </si>
  <si>
    <t>G/TBT/N/EU/352</t>
  </si>
  <si>
    <t>Draft Commission Regulation authorising a health claim made on foods and referring to children's development and health (3 pages + 2 pages of annex  in English)</t>
  </si>
  <si>
    <t>This draft Commission Regulation concerns the authorisation of a health claim made on foods and referring to children's development and health in accordance with Article 17(3) of Regulation (EC) No 1924/2006 of the European Parliament and of the Council of 20 December 2006 on nutrition and health claims made on foods.</t>
  </si>
  <si>
    <t>G/TBT/N/EU/351</t>
  </si>
  <si>
    <t>Draft Commission Regulation refusing to authorise a health claim made on foods and referring to children's development and health (3 pages + 2 pages of annex  in English)</t>
  </si>
  <si>
    <t>This draft Commission Regulation concerns the refusal of authorisation of a health claim made on foods and referring to children's development and health in accordance with Article 17(3) of Regulation (EC) No 1924/2006 of the European Parliament and of the Council of 20 December 2006 on nutrition and health claims made on foods.</t>
  </si>
  <si>
    <t>G/TBT/N/EU/349</t>
  </si>
  <si>
    <t>Draft Commission Regulation amending Regulation (EU) No 432/2012 establishing a list of permitted health claims made on foods other than those referring to the reduction of disease risk and to children’s development and health (4 pages + 4 pages of annex  in English)..</t>
  </si>
  <si>
    <t xml:space="preserve">       0  This draft Commission Regulation concerns the list of permitted health claims made on foods  other than those referring to the reduction of disease risk and to children's development and health in accordance with Article 13(3) of Regulation (EC) No 1924/2006 of the European Parliament and of the Council of 20 December 2006 on nutrition and health claims made on foods.  Normal 0     false false false  EN-GB X-NONE X-NONE                                                                                                                                                                        /* Style Definitions */ table.MsoNormalTable {mso-style-name:"Table Normal"  mso-tstyle-rowband-size:0  mso-tstyle-colband-size:0  mso-style-noshow:yes  mso-style-priority:99  mso-style-parent:""  mso-padding-alt:0pt 5.4pt 0pt 5.4pt  mso-para-margin:0pt  mso-para-margin-bottom:.0001pt  mso-pagination:widow-orphan  font-size:10.0pt  font-family:"Calibri" "sans-serif" }  </t>
  </si>
  <si>
    <t>G/TBT/N/ISR/862</t>
  </si>
  <si>
    <t>SI 1505 part 2 - Drinking water treatment systems: reverse osmosis systems (60 pages  in English  11 pages  in Hebrew)</t>
  </si>
  <si>
    <t>Revision of the Mandatory Standard SI 1505 Part 2 dealing with reverse osmosis systems for drinking water. This draft standard revision adopts the American Standard NSF/ANSI 58 - 2013.&amp;nbsp  The major differences between the old version and this new revised draft standard are as follows:Adds a new definition to paragraph 3 for drinking water treatment systems for household  business  public or similar useChanges sub-paragraphs 4.4.3.2 and 4.4.3.4 and deletes sub-paragraph 4.4.3.5 from paragraph 4.4.3 dealing with exposureAdds a new paragraph 4.5.1 dealing with general requirements for GC/MS analysisDeletes paragraph 5.1.3.4 dealing burst test non-metallic pressure vesselsAdds a new paragraph 7.1.1.3&amp;nbsp dealing with premature filter pluggingAdds a new paragraph 7.1.1.2.3&amp;nbsp dealing with premature filter pluggingAdds a new informative Annex CAdds a new normative Annex D dealing with method and procedures to minimize premature filter pluggingBoth the old standard and the new revised standard will apply for a period of 6 months from publication in Israel's Official Gazette. During this time reverse osmosis systems for drinking water could be tested according to the old or the new standard.</t>
  </si>
  <si>
    <t>Drinking water treatment systems</t>
  </si>
  <si>
    <t xml:space="preserve"> ICS codes: 13.060.20  HS codes: 841981  841989  842121 </t>
  </si>
  <si>
    <t>G/TBT/N/KOR/626</t>
  </si>
  <si>
    <t>Proposed Revision of the "Standard for Food and Functional health food traceability" (27 pages  in Korean)</t>
  </si>
  <si>
    <t>The main proposed amendments of the "Standard for Food and Functional Health Food Traceability" as the following  To reflect legal basis and details concerning Article 23  "Special Act on Imported Food Safety Control" in force on 4 February 2016To amend labelling on the registered products under traceability requirement (proposal  article 6  [ Annex 4])</t>
  </si>
  <si>
    <t>Food  health functional food  livestock products except for imported beef</t>
  </si>
  <si>
    <t>Protection of animal or plant life or health</t>
  </si>
  <si>
    <t>G/TBT/N/UGA/531</t>
  </si>
  <si>
    <t>Uganda National Bureau of Standards (Import Inspection and Clearance) Regulations  2015 (16 pages  in English)</t>
  </si>
  <si>
    <t>The draft Import Inspection and Clearance Regulations  2015 cover goods that are to be accompanied by a certificate of conformity or certificate of road worthiness. It contains provisions on application for import clearance certificate  handling of the application and release of goods without issuance of certificate. The regulations provide for how to handle products bearing Uganda certification mark manufactured outside East African Community. The regulations also contain provisions on how to handle non-conforming goods or motor vehicles  destination inspection and conditions under which goods can be released under seal. The regulations contain a schedule of goods exempted from Pre-export Verification of Conformity to Standards and approved specifications (PVOC) and provide for offences and penalties for release  distribution  sales or marketing of a product that does not conform to the requirements of relevant Uganda Standards.The regulations contain schedules for fees and charges for import inspection and clearance  and categories of goods subjected to PVOC.</t>
  </si>
  <si>
    <t>Toys   Electrical and electronics  Automotive products and inputs  Chemical products  Mechanical materials and gas appliances  Textile  leather  plastic and rubber  Furniture( wood and metal articles)  Paper and stationery  Protective safety equipment  Food and food products  Used products including used motor vehicles</t>
  </si>
  <si>
    <t xml:space="preserve"> ICS codes: 31  13.100  29.060  29.120  43.040.10  49.025.60  59.140.35  67.040  71.060  71.080  83.140  85.080  97.030  97.140  97.200.50  HS codes: 4817  94  42  85  95  39  5911  38  650610  40 </t>
  </si>
  <si>
    <t>G/TBT/N/SAU/915</t>
  </si>
  <si>
    <t>The Kingdom of Saudi Arabia "Food Act" (12 pages  in Arabic)</t>
  </si>
  <si>
    <t>This Act applies to all stages of food chain to ensure food safety  quality enhancement  protection of consumer's health by minimizing food related risks  and prevention barriers of food trade.</t>
  </si>
  <si>
    <t>Food facilities. Processes in the food industry (ICS: 67.020)  and food safety</t>
  </si>
  <si>
    <t>G/TBT/N/JPN/515</t>
  </si>
  <si>
    <t>Revision of Specifications and Standards for Food  Food Additives  Etc. (2 pages  in English)</t>
  </si>
  <si>
    <t>Establishment of specifications and standards for utensils  containers  and packaging made of synthetic resins whose main component is polyethylene naphthalate.For greater transparency  this revision is also notified through SPS notification.</t>
  </si>
  <si>
    <t>Food Utensils  Containers  and Packaging</t>
  </si>
  <si>
    <t>G/TBT/N/EGY/115</t>
  </si>
  <si>
    <t>Ministerial Decree No.991 /2015 (3 pages  in Arabic)</t>
  </si>
  <si>
    <t>• This Ministerial Decree mandates that the clearance of&amp;nbsp  shipments of&amp;nbsp  imports of the above mentioned products except for what&amp;nbsp  is imported for private and&amp;nbsp  personal use  is&amp;nbsp  subject to the following alternatives:&amp;nbsp &amp;nbsp &amp;nbsp &amp;nbsp &amp;nbsp &amp;nbsp  • Alternative 1: The producer is registered in the Egyptian organization for Export and Import control (GOEIC) according to Article 94 of Ministerial Decree no. 770 for year 2005 and its amendments issuing the Executive Regulation to Implement the Import and Export Law. &amp;nbsp &amp;nbsp &amp;nbsp &amp;nbsp &amp;nbsp &amp;nbsp  • Alternative 2:&amp;nbsp  The shipment is accompanied by documented and accredited inspection and review certificate containing the shipment data and the required inspection and testing results stipulating the conformity of the shipment with the relevant accredited Egyptian standards. This certificate should be issued by accredited inspection companies accredited by one of the accredited bodies from the International Laboratory Accreditation Cooperation (ILAC).&amp;nbsp &amp;nbsp &amp;nbsp &amp;nbsp &amp;nbsp &amp;nbsp &amp;nbsp  • Alternative 3: The inspection and review certificate can also be issued by an Egyptian or foreign agency approved by the Minister of Foreign Trade and has accredited and specialized laboratories in the tests required for each product.• In all cases  shipments shall be subject to random inspection by GOEIC.• Dealing with&amp;nbsp &amp;nbsp  pre-shipment inspection companies or agencies will be suspended for six months in case of non-conformity of the inspection certificates with the results of the random inspection. In case of recurrence  dealing with those companies will be revoked by a decision of the Minister of Foreign Trade.&amp;nbsp  • This Ministerial decree is an addendum to serial no.5 in Annex 3 of Ministerial Decree no. 770 for year 2005 and its amendments issuing the Executive Regulation to Implement the Import and Export Law.</t>
  </si>
  <si>
    <t>• Milk and milk products for retail sale   • Preserved and dried fruits for retail sale  • Oils and fats for retail sale  • Chocolates and food products containing cocoa for retail sale  • Sugar confectionaries  • Pastas and prepared foods from cereals and bread products and pastries  • Fruit juices  for retail sale  • Natural and mineral water and aerated water  • Beauty and make-up products  preparations for oral or dental hygiene  personal deodorants and antiperspirants  and perfumed preparations  • Soap and washing preparations used as soap for retail sale  • Floor coverings  • Cutlery and kitchen utensils  • Baths  shower baths  sinks  washbasins  bidets  lavatory pans  seats and covers  • Toilet Paper and similar paper  babies and sanitary napkins  • Refractory bricks  blocks  tiles for household use  • Tableware glass articles  • Iron and steel bars and rods  • Household electrical appliances (stoves  fryers  air conditioners  fans  washing machines  blenders and heaters)  • Home and Office furniture  • Bicycles  motorcycles and those with auxiliary motors  • Watches and clocks  • Lightening equipment for household use  • Toys</t>
  </si>
  <si>
    <t>G/TBT/N/EGY/114</t>
  </si>
  <si>
    <t>Decree No. 43/2016 (5 pages  in Arabic)</t>
  </si>
  <si>
    <t>Ministerial Decree no. 43 for the year 2016 mandates that imports for commercial purposes of the described products will only be allowed into Egypt provided they are produced by manufacturing plants or imported from the companies owning the trademarks or their distribution centres registered in the relevant established register in the General Organization for Export and Import Control.Registration in or strike off from this register shall be decreed by the Minister of Foreign trade who also has the authority to allow for an exemption from some or all the requirements for registration.To register in the relevant registry in GOEIC the following requirements apply:First: For manufacturing plants :- The submission of an application for registration by the legal representative of the producer  or an authorized person by the producer&amp;nbsp  or his agent accompanied by the following accredited documents:• The legal identity of the producer and the license issued for the manufacturing plant.• The product varieties produced and their trademarks.• The trademarks of the products and the trademarked products produced under license from their owners.• A certificate that the producer maintains a quality control system. The certificate should be issued by entities accredited by the International Laboratory Accreditation Cooperation (ILAC) or the International Accreditation Forum (IAF) or an Egyptian or foreign governmental entity approved by the Minister of Foreign Trade. Second: For companies owning trademarks: - The submission of an application for registration by the legal representative of the trademark owner company  or an authorized person or its agent accompanied by the following accredited documents:• A certificate stating the registration of the trademark and the trademarked goods produced.&amp;nbsp  • A certificate from the trademark owner company containing the distribution centres that are entitled to supply the products bearing the trademark. • A certificate that the trademark owner company maintains a quality control system. The certificate should be issued by entities accredited by the International Laboratory Accreditation Cooperation (ILAC) or the International Accreditation Forum (IAF) or an Egyptian or foreign governmental entity approved by the Minister of Foreign Trade. In case there is a suspicion in the validity of the submitted documents  registration in the relevant registry will not take place until these documents have been verified. Based on a request from the applicant  inspection of the company or manufacturing plant may take place to verify the validity of the documents after having the approval of the Minister of Foreign Trade.</t>
  </si>
  <si>
    <t>• Milk and milk products (except for infants' milk) for retail sale in packages weighing no more than 2 kilograms (Products of HS codes from 04.01 to 04.06)  • Preserved and dried fruits for retail sale in packages weighing no more than 2 kilograms (Products of HS Chapter 08)  • Oils and fats for retail sale in packages weighing no more than 5 kilograms (Products of HS chapter 15)  • Chocolates and food products containing cocoa for retail sale in packages weighing no more than 2 kilograms (Products of HS code 18.06)  • Sugar confectionaries (HS code 17.04)   • Pastas and prepared foods from cereals and bread products and pastries except for empty cachets of a kind suitable for pharmaceutical use (HS codes 19.02-19.04-19.05)  • Fruit juices for retail sale in packages weighing less than 10 kilograms (Products of HS code 20.09)  • Natural and mineral water and aerated water (HS codes 22.01-22.02)  • Beauty and make-up products  preparations for oral or dental hygiene  personal deodorants and antiperspirants  and perfumed preparations (HS codes from 33.03 to 33.07 )   • Soap and washing preparations used as soap for retail sale (HS 3401.11 – 3401.19 – 3401.2090 – 3401.30 - 3402.20 – 3402.9090)   • Cutlery and kitchen utensils (HS codes 39.24 - 4419 – 69.11 – 6912 – 73.23 – 7418.10 – 7615.10 – 8211.10 - 8211.91 - 82.15)  • Baths  shower baths  sinks  washbasins  bidets  lavatory pans  seats and covers  • Toilet Paper and similar paper   babies and sanitary napkins (HS codes 9619 –48.18 (except for 4818.1090 ) – 4803)  • Refractory bricks  blocks  tiles for household use (HS codes 6802.10 – 6802.2110 – 6802.9110 – 6904.40 - 6810.19 – 69.07 – 69.08)  • Tableware glass articles (HS code 70.13)  • Iron and steel bars and rods (HS codes 72.13 – 72.14 – 72.15)   • Household electrical appliances (stoves  fryers  air conditioners  fans  washing machines  blenders and heaters) (Products of HS codes 73.21 – 73.22 – 8414.51 - 8415.10 8415.81 - 8415.82 – 8415.83 – 8418.10 – 8418.21 – 8418.29 – 8418.30 – 8418.40 – 8422.11 – 8450.11 – 8450.12 – 8450.19 – 8451.21 – 8508.11 – 8509.40 – 8509.80 – 8516.10 – 8516.21 – 8516.32 – 8516.40 – 8516.50 – 8516.60 – 8516.71 – 8516.72 – 8516.79 – 8527.12 – 8527.13 – 8527.19 – 8527.91 – 8527.92 – 8527.99 – 8528.71 – 8528.7220 – 8528.7290 – 8528.73)   • Home and Office furniture (HS codes 9401.30 – 9401.40 – 9401.51 – 9401.59 – 9401.61 – 9401.69 – 9401.7190 – 9401.79 - 9401.8090 - 94.03 – 94.04 )   • Bicycles  motorcycles and those with auxiliary motors (HS codes 87.11 – 8712)   • Watches and clocks (Products of HS chapter 91)  • Lightening equipment for household use (HS codes9405.10 – 9405.20 – 9405.30 - 9405.4090)   • Toys (HS code 9503)  • Textiles  clothing  and home textiles (HS chapters and codes: 50.07 – 51.11 – 51.12 – 5113 – 52.08 - 52.09 – 52.10 – 52.11 – 52.12 – 53.09 – 5311 - 54.07 – 54.08 – 55.12 – 55.13 – 55.14 – 55.15 – 55.16 – 58.01 – 58.02 – 58.04 – 58.05 – 58.09 - 5810.1090 – 5810.91 – 5810.92 – 5810.99   Chapter 60   Chapter 61 (except 6113.0010 6114.3010 – 6115.10 – 6116.1010)  Chapter 62 (except 6210.1010 - 6210.2010 – 6210.3010 – 6210.4010 – 6210.5010 - 6211.3910 – 6211.4910 – 6212.2010 – 6212.9010 – 6216.0010 – 62.17)  Chapter 63 (except for 63.07)   • Carpets   floor and wall coverings from textiles or non- textiles materials (HS chapter 57  HS codes 39.18  4016.91)   • Footwear (HS codes 64.01 – 64.02 – 64.03 – 64.04 – 64.05)</t>
  </si>
  <si>
    <t xml:space="preserve"> HS codes: 15  08  680291  681019  680210  4818  2201  1902  5802  5809  8215  6402  6404  340120  8711  60  62  57  6912  851610  851679  940169  851621  851671  841451  841582  841821  401691  841840  7323  821110  841510  0401  6403  5210  5208  7013  581010  63  8712  5516  6405  6904  5211  5514  5515  6401  91  940130  852713  7322  7215  7213  581099  680221  842211  61  3918  845011  841583  7214  6908  2009  5804  5805  1806  0404  1904  0403  851640  5407  841581  340290  6911  5007  3307  5512  5111  5311  7321  3306  4419  1905  3924  0405  9404  940530  340130  9503  6907  3304  4803  0402  5513  5113  5212  5112  96  1704  340111  76151  845019  845012  851650  850980  851632  852719  852712  940171  940180  841829  841830  340119  3305  851660  5309  5209  340220  74181  5801  5408  3303  9403  940179  940140  940510  850940  851672  940520  940540  940161  821191  845121  581092  581091  2202 </t>
  </si>
  <si>
    <t>G/TBT/N/THA/474</t>
  </si>
  <si>
    <t>Draft Ministry of Public Health Notification  No. ... B.E. ... (....) entitled "Novel food" (5 pages  in Thai)</t>
  </si>
  <si>
    <t>The Ministry of Public Health (MOPH) considered that novel ingredients which have never been used for consumption as food or used as food ingredients as well as novel process that never been used earlier for production of food. Therefore  the notification of MOPH entitled "Novel food" has been issued for providing risk assessment measure in order to protect consumer as follows: Clause 1 – Novel food in this notification means (1) Any object used as food or food ingredients which have been significantly used for human consumption less than fifteen years based on scientific or reliable evidence  or(2) Any object used as food or food ingredients to which has been applied a production process not currently used  where that process gives rise to significant changes in the composition or structure of such food which affect their nutritional value  metabolism or level of undesirable substances  or(3) Any food product contains either (1) or (2) as an ingredient. However  food additives and food obtained through certain techniques of Genetic Modification/Genetic Engineering are not included in this notification. Clause 2 – Novel food shall be evaluated on safety assessment prior to submit its label to Food and Drug Administration for approval before use. Clause 3 – To evaluate safety assessment of such novel food  results of safety assessment by risk assessment centres recognized by Food and Drug Administration together with other relevant information described in the annex of this notification shall be submitted to Food and Drug Administration. Information and scientific data about novel food required in Annex covers general information  specification  history of use  production process  analytical method  recommended dose or instruction for use  toxicological information consisting of absorption  distribution  metabolism  and elimination (ADME) and toxicological studies in animal and/or human  and nutrition information. Clause 4 – Novel food shall have specification and condition of use as approved by Food and Drug Administration.Clause 5 – Producers or Importers of novel food shall follow this notification  a particular notification and relevant regulations with such novel foods.Clause 6 – Labeling of novel food shall comply with the notification of MOPH (No.367) B.E. 2557 (2014) Re: Labeling of Prepackaged Foods  except clause 4(9) shall display date  month  and year of production and date  month  and year of expiration for consumption by expressing date  month  year respectively  and shall incorporated with declarations of "Produce"  "Expire"  or "Consume before"  as the case may be. In addition the following information shall be expressed on its label  (1) Name of active ingredient (if any)  and (2) Instruction of use  or condition of use such as type or category of food and maximum permitted level of use.Clause 7 – This notification does not apply to novel food for exportationClause 8 – This notification does not apply to producers or importers of novel foods which are permitted and produced or imported prior to the date of this notification come into force. Clause 9 - This notification shall come into force as from the day following date of its publication in the Government Gazette.</t>
  </si>
  <si>
    <t>Novel food (ICS: 67.020   67.040)</t>
  </si>
  <si>
    <t>G/TBT/N/THA/473</t>
  </si>
  <si>
    <t>Draft The Notification of the Ministry of Public Health (No ...) B.E. ... Regarding the Display of Nutrition Symbol on Food Label" (1 page  in English  1 page  in Thai)</t>
  </si>
  <si>
    <t>This Notification aims to promote and encourage the use of a nutrition symbol as the nutrition information by motivating manufacturer  importer and distributor to make a healthier choice and to prevent the problems of over-nutrition and non-communicable diseases (NCDs) for consumer.&amp;nbsp  By virtue of the provisions of Section 5 and Section 6 (10) of the Food Act B.E. 2522 (1979)  the Minister of Public Health hereby issues the Notification as follows:Clause 1 "Nutrition Symbol" in this Notification means a symbol providing an alternative to assist consumer in decision making leading to a balanced nutrition.Clause 2 For any food Manufacturer and Importer for sale  or Food Distributor intending to display the nutrition symbol on food label  the food product attached by such label shall be initially inspected and certified by the Nutrition Promotion Foundation under the Institute of Nutrition of Mahidol University  or other relevant agencies authorized by the Committee of Strategy&amp;nbsp  mobilization&amp;nbsp  in Building Linkages between Food and Nutrition for Good Quality of Life under the National Food Committee.&amp;nbsp  After inspection and certification  the nutrition symbol subsequently can be displayed on food label.Clause 3 The nutrition symbol displayed on food label shall be complied with a format set by the Sub-Committee of Developing and Promoting the Use of Simplified Nutrition Symbol under the approval of the Committee of Strategy mobilization in Building Linkages between Food and Nutrition for Good Quality of Life.Clause 4 Nutrition criteria or nutritional value used for further perusal on certification of displaying the nutrition symbol shall be complied with the technical requirement prescribed by the Sub-committee of Developing and Promoting the Use of Simplified Nutrition Symbol and approved by the Committee of Strategy mobilization in Building Linkages between Food and Nutrition for Good Quality of Life under the National Food Committee.Clause 5 Display of the nutrition symbol on food label according to this Notification shall also be complied with the Notification of the Ministry of Public Health Re: Labelling of Prepackaged Foods  the Notification of the Ministry of Public Health for a particular food  and the Notification of the Ministry of Public Health Re: Nutrition Label.Clause 6 This Notification shall come into force as from the day following the date of its publication in the Royal Gazette.</t>
  </si>
  <si>
    <t>Any Foods  (ICS: 67.020   67.040)</t>
  </si>
  <si>
    <t>Malaysia</t>
  </si>
  <si>
    <t>G/TBT/N/MYS/65</t>
  </si>
  <si>
    <t>New Regulations - Food Regulations: Food Analysis Fee 2015 (4 pages  in English)</t>
  </si>
  <si>
    <t>This new regulation prescribes fees on analysis of food samples carried out by the Food Safety and Quality Laboratory  Ministry of Health Malaysia.</t>
  </si>
  <si>
    <t xml:space="preserve">All foods (ICS: 67) </t>
  </si>
  <si>
    <t>G/TBT/N/EU/345</t>
  </si>
  <si>
    <t>Draft Commission Implementing Regulation amending Regulation (EC) No 889/2008 laying down detailed rules for the implementation of Council Regulation (EC) No 834/2007 on organic production and labelling of organic products with regard to organic production  labelling and control (8 pages + 7 pages of annexes  in English).</t>
  </si>
  <si>
    <t>This draft Commission Regulation amends Article 6a of Regulation (EC) No 889/2008 as regards micro-algae  Article 25e on the use of non-organic aquaculture juveniles  Article 25o(1) on the maximum percentage of seed from non-organic bivalve shellfish hatcheries  Article 29d(4) for the extension of the deadline as regards oenological practices  Article 47 on the use of non-organic juveniles in case of catastrophic circumstances  Annex II that lists authorised pesticides  Annex VI that lists authorised feed additives and finally  Annex VIII which lists the food additives and processing aids allowed in the production of organic food and yeast.</t>
  </si>
  <si>
    <t xml:space="preserve">Substances to be used for the production of food and feed </t>
  </si>
  <si>
    <t>G/TBT/N/EU/340</t>
  </si>
  <si>
    <t>Draft Commission Regulation amending Regulation (EU) No 432/2012 establishing a list of permitted health claims made on foods other than those referring to the reduction of disease risk and to children's development and health (5 pages + 9 pages of annex  in English)</t>
  </si>
  <si>
    <t>This draft Commission Regulation concerns the amendment of the list of authorised health claims made on foods other than those referring to the reduction of disease risk and to children's development and health in accordance with Article 13(4) of Regulation (EC) No 1924/2006 of the European Parliament and of the Council of 20 December 2006 on nutrition and health claims made on foods.</t>
  </si>
  <si>
    <t>G/TBT/N/TUR/74</t>
  </si>
  <si>
    <t>Turkish Food Codex Communiqué on Botanicals and Botanical Preparations That May Be Used in Foods (35 pages  in Turkish)</t>
  </si>
  <si>
    <t>This Communiqué lays down a common procedure for the safety assessment of botanical materials (e.g. whole  fragmented or cut plants  plant parts  algae  fungi and lichens) and botanical preparations. Besides  this Communiqué provides for the lists of botanical materials and botanical preparations permitted for use in foods  conditions&amp;nbsp of their usage&amp;nbsp and rules on the labelling of foods which include botanical materials and botanical preparations.</t>
  </si>
  <si>
    <t>Botanicals and Botanical Preparations That May Be Used in Foods</t>
  </si>
  <si>
    <t>G/TBT/N/KOR/623</t>
  </si>
  <si>
    <t>Proposed Revision of the "Labelling Standards for Foods" (40 pages  in Korean)</t>
  </si>
  <si>
    <t>The main proposed amendments of the "Labelling Standards for Foods" is as the following- Nutritional information primarily as values contained per "total content volume". In certain circumstances  the nutritional information may be displayed as according to "per 100g(ml)" or "per unit (pack  piece  etc) size"- Amends the order of display for nutritional information- Establish the calorific calculation for "Allulose" to be 0 kcal/g- Amends the templates for the display of nutritional information to enhance legibility</t>
  </si>
  <si>
    <t>G/TBT/N/KOR/622</t>
  </si>
  <si>
    <t>Amendment on the "Food Sanitation Act" (4 pages  in Korean)</t>
  </si>
  <si>
    <t>Amendment on the "Food Sanitation Act" was passed at the National Assembly on 31 December 2015. The new amendment includes mandatory&amp;nbsp labelling for Genetically Modified Foods  Foods or food additives from manufactured or processed agricultural  livestock or marine products developed using modern biotechnology should be labelled as genetically modified foods. Modern biotechnology means the application of:&amp;nbsp 1) In vitro nucleic acid technique  including recombinant deoxyribonucleic acid and direct injection of nucleic acid into cells or organelles  or&amp;nbsp 2) fusion of cells beyond the taxonomic familyHowever  the mandatory labelling is limited to genetically modified foods that retain transgenic DNA fragments or transgenic proteins.</t>
  </si>
  <si>
    <t>G/TBT/N/KOR/621</t>
  </si>
  <si>
    <t>Amendment on the "Functional Health Foods Act" (4 pages  in Korean)</t>
  </si>
  <si>
    <t>Amendment on the "Functional Health Foods Act" was passed at the National Assembly on 31 December 2015. The new amendment includes mandatory labelling for Genetically Modified Foods Foods or food additives from manufactured or processed agricultural  livestock or marine products developed using modern biotechnology should be labelled as genetically modified foods. Modern biotechnology means the application of: 1) In vitro nucleic acid technique  including recombinant deoxyribonucleic acid and direct injection of nucleic acid into cells or organelles  or 2) fusion of cells beyond the taxonomic family&amp;nbsp &amp;nbsp  However  the mandatory labelling is limited to genetically modified foods that retain transgenic DNA fragments or transgenic proteins.</t>
  </si>
  <si>
    <t>G/TBT/N/EU/339</t>
  </si>
  <si>
    <t>Draft Commission Regulation refusing to authorise certain health claims made on foods  other than those referring to the reduction of disease risk and to children's development and health (5 pages + 3 pages of annex  in English).</t>
  </si>
  <si>
    <t>G/TBT/N/EU/338</t>
  </si>
  <si>
    <t>G/TBT/N/EU/337</t>
  </si>
  <si>
    <t>G/TBT/N/TUR/73</t>
  </si>
  <si>
    <t>Turkish Food Codex Regulation on Food Labelling and Information to Consumers (42 pages  in Turkish)</t>
  </si>
  <si>
    <t>This Regulation sets out general principles  needs and responsibilities governing food information to consumers and in particular food labelling.</t>
  </si>
  <si>
    <t>Food (excluding spring water  drinking water  natural mineral water  water for special medical purposes of which are produced without using any food additives  flavorings and any substance for enrichment purposes)</t>
  </si>
  <si>
    <t>G/TBT/N/TUR/72</t>
  </si>
  <si>
    <t>Turkish Food Codex Regulation on Nutrition and Health Claims (56 pages  in Turkish)</t>
  </si>
  <si>
    <t>This Regulation sets out general principles  needs and responsibilities governing nutrition and health claims.</t>
  </si>
  <si>
    <t>Food (excluding spring water  drinking water  natural mineral water  water for special medical purposes of which are produced without using any food additives  flavorings and any  substance for enrichment purposes)</t>
  </si>
  <si>
    <t>G/TBT/N/KOR/620</t>
  </si>
  <si>
    <t>Proposed amendments to the Labelling Standards for Health Functional Foods (23 pages  in Korean)</t>
  </si>
  <si>
    <t>The main proposed amendments of the "Labelling Standards for Health Functional Foods"&amp;nbsp are as follows:- Require the use a font size of 10 of greater when displaying labelling information.- Delete the "functional grade" from the provision which requires the labelling of functional information.- Delete the term "soluble component" from the provision regarding the labelling.- Allow the labelling of ginseng (or red ginseng) mark on the products with functional ingredient in ginseng (or red ginseng).- Clarification of the scope of "manufacturing facility" from the provision which requires the&amp;nbsp  labelling of allergen exposure possibility.</t>
  </si>
  <si>
    <t>G/TBT/N/CHN/1165</t>
  </si>
  <si>
    <t>Formula Registration Regulation for Infant and Follow-Up Formula (11 pages  in Chinese)</t>
  </si>
  <si>
    <t>To clarify the procedures and requirements of formula registration for infant and follow-up formula.</t>
  </si>
  <si>
    <t xml:space="preserve">Food  Infant and  Follow-up Formula </t>
  </si>
  <si>
    <t>G/TBT/N/CHN/1164</t>
  </si>
  <si>
    <t>Registration Regulation for Food for Special Medical Purpose (12 pages  in Chinese)</t>
  </si>
  <si>
    <t>To clarify the procedures and requirements of product registration for food for special medical purpose.</t>
  </si>
  <si>
    <t>Food  Food for Special Medical Purpose</t>
  </si>
  <si>
    <t>G/TBT/N/TPKM/226</t>
  </si>
  <si>
    <t>Public Notice (food No.1041304257) issued by Ministry of Health and Welfare: "Draft of the Regulations on Iodine Labelling for Prepackaged Food Grade Salt Products"  (1 page  in English  1 pages  in Chinese)</t>
  </si>
  <si>
    <t>According to Article 22 of the Act Governing Food Safety and Sanitation  the MOHW proposed to regulate iodine labelling for prepackaged food grade salt products. The information of iodine shall be specifically labelled on prepackaged salt products no matter Iodine is added or not.</t>
  </si>
  <si>
    <t>G/TBT/N/BRA/657</t>
  </si>
  <si>
    <t>Ordinance Nº. 44  15 December 2015 (Instrução Normativa SARC/MAPA Nº 44/2015)  (1 page  in Portuguese)</t>
  </si>
  <si>
    <t>Technical regulation amending Ordinance nº 13  30 November 2015  that established basic procedures for safety recording and marketing of additives used in products intended for animal feed in order to ensure an adequate level of protection of human health  animals and the environment  and to introduce requirements to the additives labelling  aiming at providing the minimum information for safety reasons.It revokes letter "b" of item VII of subsection 3.2  the section "e" of item 3.5.1  section "g" of item 4.2 of Annex I and item 5 of Annex II  all of them of Ordinance 13  30 November 2004 (Instrução Normativa 13  de 30 de Novembro de 2004).</t>
  </si>
  <si>
    <t xml:space="preserve">HS Chapter 23 - prepared animal feed </t>
  </si>
  <si>
    <t xml:space="preserve"> HS codes: 23 </t>
  </si>
  <si>
    <t>G/TBT/N/USA/1054</t>
  </si>
  <si>
    <t>National Organic Program (NOP)  Sunset 2016 Amendments to the National List (5 pages  in English)</t>
  </si>
  <si>
    <t>This proposed rule would address recommendations submitted to the Secretary of Agriculture (Secretary) by the National Organic Standards Board (NOSB) following their April 2015 meeting. These recommendations pertain to the 2016 Sunset Review of substances on the U.S. Department of Agriculture's (USDA) National List of Allowed and Prohibited Substances (National List). Consistent with the recommendations from the NOSB  this proposed rule would remove five non-organic nonagricultural substances from the National List for use in organic handling: Egg white lysozyme  cyclohexylamine  diethylaminoethanol  octadecylamine  and tetrasodium pyrophosphate.</t>
  </si>
  <si>
    <t>Organic foods</t>
  </si>
  <si>
    <t>G/TBT/N/EU/331</t>
  </si>
  <si>
    <t>Draft Commission Regulation refusing to authorise a health claim made on foods  other than those referring to the reduction of disease risk and to children's development and health (4 pages + 2 pages of annex  in English)</t>
  </si>
  <si>
    <t>This draft Commission Regulation concerns the refusal of authorisation of one health claim made on foods  other than those referring to the reduction of disease risk and to children's development and health in accordance with Article 18(4) of Regulation (EC) No 1924/2006 of the European Parliament and of the Council of 20 December 2006 on nutrition and health claims made on foods.</t>
  </si>
  <si>
    <t>G/TBT/N/EU/330</t>
  </si>
  <si>
    <t>This draft Commission Regulation concerns the refusal of authorisation of two health claims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</si>
  <si>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G/TBT/N/THA/471</t>
  </si>
  <si>
    <t>Draft Control of Marketing of Infant and Young Child Food and Related Products Act (10 pages  in Thai)</t>
  </si>
  <si>
    <t xml:space="preserve">This Draft Act controls the marketing of infant and young child food and related products according to the rules and agreement written in the International Code of Marketing of Breast-milk Substitutes and relevant resolutions adopted by Member states of World Health Organization during World Health Assembly. It is composed of 6 chapters 33 sections.1.&amp;nbsp &amp;nbsp &amp;nbsp &amp;nbsp &amp;nbsp &amp;nbsp &amp;nbsp &amp;nbsp &amp;nbsp In this Act  it controls the marketing of Infant and young child food and related products that includes: "Infant" means a child from birth under the age of 12 months."Young child" means a child aged between 12 months to 3 years. "Food for infant and young child" means infant formula  follow-up formula for infant and young children  and continuous milk for young children[1]  complementary food that are marketed as products for infants and young children  and including other kinds of food for infant and young children proclaimed by the Minister with the advice of the Committee.&amp;nbsp  "Related products" means milk containers  milk bottles  teats  or other products proclaimed by the Ministerial Notice with the advice of the Infant and Young Child Food and Related Products Marketing Committee. 2.&amp;nbsp &amp;nbsp &amp;nbsp &amp;nbsp &amp;nbsp &amp;nbsp &amp;nbsp &amp;nbsp  The Committee on the Control of Marketing of Infant and Young Child Food and Related Products shall be established and composed of the government  academic  and NGOs representatives.3.&amp;nbsp &amp;nbsp &amp;nbsp &amp;nbsp &amp;nbsp &amp;nbsp &amp;nbsp &amp;nbsp  n regards to infant formula  follow-on formula  and continuous milk for young children  manufacturers  importers  and distributors are not allowed  with some exceptions  to engage in following activities  (1) advertising &amp;nbsp  (2) Sales promotion &amp;nbsp  (3) Offering product samples (4) Donation (5) Offering of object that carries the name  logo  signs  or symbols that may be related to the products to pregnant women  mothers or family members of infant and young children  whether directly or indirectly  (6) Sponsoring events or any other communication means that directly contact with pregnant women  mothers or family members of infant and young children  whether directly or indirectly  (7) Providing object  equipment or service with name  logo  or other symbols that links to the product to the organization and health system  (8) Offering gift  money  or other incentives  to medical and nursing professionals  or public health personnel (9) Organizing academic training or seminar about infant and young child food  with exception of providing funds to professional medical and public health organization to hold academic meeting and (10) Any other activities prescribed in the Ministerial Notice.4.&amp;nbsp &amp;nbsp &amp;nbsp &amp;nbsp &amp;nbsp &amp;nbsp &amp;nbsp &amp;nbsp Manufacturers  importers  and distributors are not allowed to market the complementary food to pregnant women  mothers and family members of infants aged less than 6 months in the same ways as above mentioned.5.&amp;nbsp &amp;nbsp &amp;nbsp &amp;nbsp &amp;nbsp &amp;nbsp &amp;nbsp &amp;nbsp  Producer  importers  or distributors or its representative must provide factual product information to medical  nursing professional  and public health personnel and not provide information in following manner  falsely present  distort the details  overstate the benefit or properties  create misunderstanding of key information  claim or certify the benefits without scientific evidence  and make reference to breast-milk.6.&amp;nbsp &amp;nbsp &amp;nbsp &amp;nbsp &amp;nbsp &amp;nbsp &amp;nbsp &amp;nbsp  Object or communication materials with information on infant formula and follow-on formula must also indicate the approximate financial cost for feeding infant and young children with infant formula and follow-on formula and warning about health hazards caused by inappropriate preparation or use of the product. 7.&amp;nbsp &amp;nbsp &amp;nbsp &amp;nbsp &amp;nbsp &amp;nbsp &amp;nbsp &amp;nbsp  Medical and nursing professionals and public health personnel shall be obliged to provide counselling and education about the implementation of this Act and notify the Department of Health or the officials when the violation of this Act is observed.8.&amp;nbsp &amp;nbsp &amp;nbsp &amp;nbsp &amp;nbsp  Any person who contravenes this Act will be liable for a fine. Medical and nursing professionals and public health personnel who engaged with the misconduct of this Act will be reported to the professional organization to consider appropriate measure according to the professional organization.9.&amp;nbsp &amp;nbsp &amp;nbsp &amp;nbsp &amp;nbsp  This Act shall come into force 180 days following the date of its publication in the Government Gazette.&amp;nbsp &amp;nbsp  [1] Continuous milk for young children: We want to refer to growing up milk  but there is no Thai word for it. This is the literal translation of the term we used in this act.&amp;nbsp &amp;nbsp &amp;nbsp &amp;nbsp &amp;nbsp  </t>
  </si>
  <si>
    <t>Infant and young child food (HS Code : 0401  0402)  (ICS: 67.100.10)</t>
  </si>
  <si>
    <t xml:space="preserve"> HS codes: 0401  0402 </t>
  </si>
  <si>
    <t>G/TBT/N/THA/469</t>
  </si>
  <si>
    <t>Draft Ministry of Public Health Notification  No. … B.E. ….(....) entitled "Food Additives (No. 3)" (3 pages  in Thai Language)</t>
  </si>
  <si>
    <t>&amp;nbsp According to the Ministry of Public Health Notification No. 363 B.E. 2556 (2013) Re: Food Additives (No. 2) to prescribe labelling of food additives by declaring adequate details so that the processors can use correctly. Ministry of Public Health (MOPH) considered that it was appropriate to revise the detail of food additives labelling as follows:Clause 1 – Revised some existing provision of food additives labelling to comply with the Notification of the Ministry of Public Health  No. 367 B.E. 2557 (2014) Re: Labelling of Prepackaged Foods  dated 8 May B.E. 2557 (2014) such as:- name and address of manufacturer or packers or importers or head office &amp;nbsp  - month and year of manufacture and expiration - details of Food Additives manufactured for export Clause 2 – Amended the requirements by added specific condition for labelling of food additive derived from mixing together with two or more kinds of food additives which to be sold to food manufacturers or used as raw materials in food processing but not sold directly to consumer or sold to food additive packer. However  the following 2 cases may not required to declared percentage of food additive on the label or in manual or the documents relating to the sale.&amp;nbsp  &amp;nbsp &amp;nbsp &amp;nbsp &amp;nbsp &amp;nbsp &amp;nbsp &amp;nbsp &amp;nbsp &amp;nbsp &amp;nbsp &amp;nbsp  (1) The manufactures or importers of food additives for applying in their own food product (or the same trademark of such manufactures or importers). or &amp;nbsp &amp;nbsp &amp;nbsp &amp;nbsp &amp;nbsp &amp;nbsp &amp;nbsp &amp;nbsp &amp;nbsp &amp;nbsp &amp;nbsp  (2) The manufactures or importers of food additives for sale to food manufacturers with agreement to provide information of percentage of food additives.This MOPH Notification will be enforced on the date after being notified in the Official Gazette.</t>
  </si>
  <si>
    <t xml:space="preserve"> Food Additives (ICS: 67.220.20)</t>
  </si>
  <si>
    <t>G/TBT/N/AUS/100</t>
  </si>
  <si>
    <t>• Country of Origin Labelling - Consultation Regulation Impact Statement (English  63 pages)  • Country of Origin Labelling - Consultation Draft Information Standard for Food (English  32 pages)  • Country of Origin Labelling - Draft Information Standard Explanatory and Discussion Paper (English  11 pages)  • Country of Origin Labelling - Exposure Draft Bill – Australian Consumer Law Safe Harbour Defences (English  11 pages)  • Country of Origin Labelling - Draft Safe Harbour Defence Changes Explanatory and Discussion Paper (English  13 pages)  • Country of Origin Labelling - Proposed changes to the Australian Made  Australian Grown Certification Trade Mark Code of Practice (English  2 pages)  • Country Of Origin Labelling For Food - FAQ for International Trading Partners (English  2 pages)</t>
  </si>
  <si>
    <t>The Australian Government is proposing changes to existing requirements for country of origin labelling for food to respond to consumer calls for clearer and more consistent information on product labels.Under the proposed changes  domestic and imported foods will continue to be required to make a true country of origin statement to reflect where the product was produced  made or grown.The main proposed change for 'priority foods' is that the country of origin statement will be placed in a box  so it can be found by consumers more easily. Informed by consumer research  this requirement would apply to foods for which consumers most highly value origin information. These foods (referred to as 'priority foods') will be defined by excluding the following food categories: seasonings  confectionery  biscuits and snack foods  bottled water  soft drinks and sports drinks  and alcoholic beverages.Additionally  all food  domestic and imported  would be subject to new rules that clarify when 'made in' and 'packed in' statements can be used.Foods that are currently exempt from country of origin labelling requirements—for example  food (including seafood) offered for immediate consumption in restaurants  canteens  hospitals etc—will continue to be exempt.The proposed changes are subject to agreement by the Australian government and state and territory governments.To assist trading partners and importers the proposals include the following considerations:·&amp;nbsp &amp;nbsp &amp;nbsp &amp;nbsp &amp;nbsp &amp;nbsp &amp;nbsp &amp;nbsp  a transition period commencing mid-2016 prior to entry into force (to be determined through consultation).·&amp;nbsp &amp;nbsp &amp;nbsp &amp;nbsp &amp;nbsp &amp;nbsp &amp;nbsp &amp;nbsp  Development of free guidance materials for trading partners to help them comply with the new requirements.·&amp;nbsp &amp;nbsp &amp;nbsp &amp;nbsp &amp;nbsp &amp;nbsp &amp;nbsp &amp;nbsp  access to a telephone hotline and a free dedicated enquiry email address will be available in the Australian Department of Industry  Innovation and Science.Information about the proposed changes and the consultation documents can be found in the consultation package available on the Department of Industry  Innovation and Science website: https://consult.industry.gov.au/cool-taskforce/coolThe package contains several important documents that trading partners are encouraged to read carefully. There is a Regulation Impact Statement which examines issues including the advantages and disadvantages of the proposed reforms and the potential cost impost on consumers  businesses and government. The Information Standard outlines the proposed new labelling rules. The discussion papers outline proposed changes to legislation.Australia welcomes feedback from trading partners on the proposed changes to Australia's country of origin labelling framework.</t>
  </si>
  <si>
    <t>Foods sold in Australia (imported and domestically produced): HS Chapters 2-22  inclusive</t>
  </si>
  <si>
    <t>G/TBT/N/KOR/619</t>
  </si>
  <si>
    <t>Proposed Revision of the "Labelling Standards for Foods" (163 pages  in Korean)</t>
  </si>
  <si>
    <t xml:space="preserve">Integrate "general display panel" and "other display panel" into "information display panel"  and suggest standards for "principal display panel" and "information display panel".Require the use a font size of 10 or greater when displaying labelling information.Prohibit the use of "sesame" or "perilla" as the product name or part of the product name of edible oils and fats other than sesame oil and perilla oil. Allow the omission of allergen labelling for alcoholic beverages and spirits.Allow the attachment of stickers on packages of products in their natural state.Delete the provision which requires the labelling of content for processed fruit and vegetable products (which have undergone simple processing) if the content may be identified through sensory analysis.Add the definition of Original Equipment Manufacturer (OEM). Delete the term 'natural additives' from the provision regarding the labelling of the word "Natural".Deregulate the labelling provision on spice product.For the Korean labelling of imported foods  allow the labelling according to Korean orthography principles of foreign languages.Clarification on the expiration date labelling of imported products from exporting countries which don't require the labelling of expiration date. For compound raw ingredients  amend the labelling from the current five items to all items.For imported apparatus  allow the labelling of 'Name of Entrusted Manufacturer(Country of Origin)' instead of 'Name of Manufacturer'. </t>
  </si>
  <si>
    <t>G/TBT/N/RUS/46</t>
  </si>
  <si>
    <t>Draft amendments No. 3 to the Customs Union Technical Regulation «On Safety of Food Products» (CU TR 021/2011) (7 pages  in Russian)</t>
  </si>
  <si>
    <t>Draft amendments&amp;nbsp No. 3 to the Customs Union Technical Regulation «On Safety of Food Products» (CU TR 021/2011) establishes requirements for chocolate  couverture chocolate  chocolate mass and cocoa products aimed at ensuring health and life protection&amp;nbsp and preventing consumer deception.</t>
  </si>
  <si>
    <t>Food products (chocolate  couverture chocolate  chocolate mass and cocoa products)</t>
  </si>
  <si>
    <t>G/TBT/N/ZAF/194</t>
  </si>
  <si>
    <t>Draft Regulations relating to miscellaneous additives in foodstuffs (4 pages  in English)</t>
  </si>
  <si>
    <t>The proposed Regulation makes provision for the requirements for the use of food additive which is used or intended to be used primarily as an acidity regulator  anti-caking agent  antifoaming agent  bleaching agent  bulking agent  carbonating agent  carrier  colour retention agent  emulsifier  emulsifying salt  firming agent  flavour enhancer  flour treatment agent  foaming agent  gelling agent  glazing agent  humectants  packaging gas  propellant  raising agent  sequestrant  stabiliser  thickener in foodstuffs and the permitted levels thereof in foodstuffs.</t>
  </si>
  <si>
    <t>PREPARATIONS OF MEAT  OF FISH OR OF CRUSTACEANS  MOLLUSCS OR OTHER AQUATIC INVERTEBRATES (HS 16)  SUGARS AND SUGAR CONFECTIONERY (HS 17)  COCOA AND COCOA PREPARATIONS (HS 18)  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 (HS 1901)  Pasta  whether or not cooked or stuffed (with meat or other substances) or otherwise prepared  such as spaghetti  macaroni  noodles  lasagne  gnocchi  ravioli  cannelloni  couscous  whether or not prepared. (HS 1902)  Tapioca and substitutes there for prepared from starch  in the form of flakes  grains  pearls  siftings or in similar forms. (HS 1903)  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(HS 1904)  Bread  pastry  cakes  biscuits and other bakers' wares  whether or not containing cocoa  communion wafers  empty cachets of a kind suitable for pharmaceutical use  sealing wafers  rice paper and similar products. (HS 1905)  Vegetables  fruit  nuts and other edible parts of plants  prepared or preserved by vinegar or acetic acid. (HS 2001)  Tomatoes prepared or preserved otherwise than by vinegar or acetic acid. (HS 2002)  Mushrooms and truffles  prepared or preserved otherwise than by vinegar or acetic acid. (HS 2003)  Other vegetables prepared or preserved otherwise than by vinegar or acetic acid  frozen  other than products of heading 20.06. (HS 2004)  Other vegetables prepared or preserved otherwise</t>
  </si>
  <si>
    <t xml:space="preserve"> ICS codes: 67  HS codes: 16  1904  17  2001  18  1905  1901  1902 </t>
  </si>
  <si>
    <t>G/TBT/N/TUR/70</t>
  </si>
  <si>
    <t>Turkish Food Codex Regulation Amending the Regulation on Flavourings and Food Ingredients with Flavouring Properties (3 pages  in Turkish)</t>
  </si>
  <si>
    <t>The purpose of this Regulation&amp;nbsp is to harmonize the latest amendments of European Commission Regulation (EU) No 1334/2008 of 16 December 2008 on flavourings and food ingredients with flavouring properties.Amendments: &amp;nbsp 2015/1760  2015/1102  2015/648  1098/2014</t>
  </si>
  <si>
    <t>Food flavourings and food ingredients with flavouring properties</t>
  </si>
  <si>
    <t>G/TBT/N/TUR/69</t>
  </si>
  <si>
    <t>Turkish Food Codex Regulation Amending the Regulation on Classification and Maximum Residue Limits of Pharmacologically Active Substances in Foodstuffs of Animal Origin (3 pages  in Turkish)</t>
  </si>
  <si>
    <t>The purpose of this amendment is to harmonize the latest amendments of European Commission Regulation (EU) No 37/2010 of 22 December 2009 on pharmacologically active substances and their classification regarding maximum residue limits in foodstuffs of animal origin.Amendments: 418/2014  676/2014  677/2014  681/2014  682/2014  683/2014  967/2014  1277/2014 &amp;nbsp 1359/2014  1390/2014  149/2015  150/2015  151/2015  152/2015  394/2015 446/2015  1078/2015  1079/2015  1080/2015 and 1308/2015</t>
  </si>
  <si>
    <t>Foodstuffs of animal origin</t>
  </si>
  <si>
    <t>G/TBT/N/USA/1053</t>
  </si>
  <si>
    <t>Artificially Sweetened Fruit Jelly and Artificially Sweetened Fruit Preserves and Jams  Revocation of Standards of Identity (5 pages  in English)</t>
  </si>
  <si>
    <t>The Food and Drug Administration (FDA or we) is revoking the standards of identity for artificially sweetened jelly  preserves  and jams. We are taking this action primarily in response to a citizen petition submitted by the International Jelly and Preserve Association (IJPA). We also are taking this action because these standards are obsolete and unnecessary in light of our regulations for foods named by use of a nutrient content claim and a standardized term. This action will promote honesty and fair dealing in the interest of consumers.</t>
  </si>
  <si>
    <t>Artificially sweetened jelly  preserves  and jams</t>
  </si>
  <si>
    <t xml:space="preserve"> ICS codes: 67.080  67.220 </t>
  </si>
  <si>
    <t>G/TBT/N/MYS/62</t>
  </si>
  <si>
    <t>Draft Amendment of Subregulation 30(4)  Food Hygiene Regulations 2009</t>
  </si>
  <si>
    <t>The proposed draft amendment is to require food manufacturers of commercially sterile low acid canned food to have at least one food handler in their employment to undergo and obtain a Certificate of Training in Handling of Low Acid Canned Food from the institutions specified by the Director.</t>
  </si>
  <si>
    <t xml:space="preserve">Low acid canned food   </t>
  </si>
  <si>
    <t>G/TBT/N/MYS/61</t>
  </si>
  <si>
    <t>Draft Amendment of Subregulation 9(1A)  Food Hygiene Regulations 2009</t>
  </si>
  <si>
    <t>The proposed draft amendment is to require that certification bodies be registered under the Food Hygiene Regulations 2009 in order for them to issue a certificate on food safety assurance programme.</t>
  </si>
  <si>
    <t>All foods</t>
  </si>
  <si>
    <t>G/TBT/N/USA/1050</t>
  </si>
  <si>
    <t>Food Labeling  Gluten-Free Labeling of Fermented or Hydrolyzed Foods (17 pages  in English)</t>
  </si>
  <si>
    <t>The Food and Drug Administration (FDA or we) is proposing to establish requirements concerning "gluten-free" labeling for foods that are fermented or hydrolyzed or that contain fermented or hydrolyzed ingredients. These additional requirements for the "gluten- free" labeling rule are needed to help ensure that individuals with celiac disease are not misled and receive truthful and accurate information with respect to fermented or hydrolyzed foods labeled as "gluten-free." There is uncertainty in interpreting the results of current gluten test methods for fermented and hydrolyzed foods on a quantitative basis that equates the test results in terms of intact gluten. Thus  we propose to evaluate compliance of such fermented and hydrolyzed foods that bear a "gluten-free" claim with the gluten-free labeling rule based on records that are made and kept by the manufacturer of the food bearing the "gluten-free" claim and made available to us for inspection and copying. The records would need to provide adequate assurance that the food is "gluten-free" in compliance with the gluten-free food labeling final rule before fermentation or hydrolysis. In addition  the proposed rule would require the manufacturer of fermented or hydrolyzed foods bearing the "gluten-free" claim to document that it has adequately evaluated the potential for gluten cross-contact and  if identified  that the manufacturer has implemented measures to prevent the introduction of gluten into the food during the manufacturing process. Likewise  manufacturers of foods that contain fermented or hydrolyzed ingredients and bear the "gluten-free" claim would be required to make and keep records that demonstrate with adequate assurance that the fermented or hydrolyzed ingredients are "gluten-free" in compliance with the gluten-free food labeling final rule. Finally  the proposed rule would state that we would evaluate compliance of distilled foods by verifying the absence of protein using scientifically valid analytical methods that can reliably detect the presence of protein or protein fragments in the distilled food.</t>
  </si>
  <si>
    <t>G/TBT/N/TPKM/222</t>
  </si>
  <si>
    <t xml:space="preserve"> "Draft of Regulation of the Food Additives Shall Be Conspicuously Labeled the Registration Number" (1 page  in English)</t>
  </si>
  <si>
    <t>Based on the provisions of subparagraph 10 of paragraph 1 of Article 24 of the Act Governing Food Safety and Sanitation  the MOHW proposes to announce the labeling requirement of the food additives to enhance product management.</t>
  </si>
  <si>
    <t>food additives</t>
  </si>
  <si>
    <t>Singapore</t>
  </si>
  <si>
    <t>G/TBT/N/SGP/25</t>
  </si>
  <si>
    <t>Draft Food (Amendment) Regulations 2015</t>
  </si>
  <si>
    <t>The Agri-Food and Veterinary Authority of Singapore (AVA) has completed a review of the Food Regulations and proposes the following amendments:a) To include a requirement that products labelled as “organic” (or similar terms) must be certified as organic under an inspection and certification system that complies with the Codex Guidelines for the Production  Processing  Labelling and Marketing of Organically Produced Foods  GL 32-1999  or equivalent.b) To prohibit the import  sale and advertisement of raw milk for direct human consumption. c) To allow the use of the generic term “Modified Starches”  if referring to the following modified starches  for labelling purposes:- Dextrin roasted starch  Acid-treated starch  Alkaline-treated starch  Bleached starch  Oxidised starch  Enzyme-treated starch  Monostarch phosphate  Distarch phosphate  Phosphated distarch phosphate  Acetylated distarch phosphate  Starch acetate  Acetylated distarch adipate  Hydroxypropyl starch  Hydroxypropyl distarch phosphate  Starch sodium octenyl succinate  Acetylated oxidised starchd) To make editorial amendments to existing regulations 9  12  30(3) and 38  to update the terms used  as well as to spell out the provisions in a clearer format.(The above amendment is also notified via SPS notification.)</t>
  </si>
  <si>
    <t>G/TBT/N/ARE/283#G/TBT/N/BHR/411#G/TBT/N/KWT/294#G/TBT/N/OMN/223#G/TBT/N/QAT/408#G/TBT/N/SAU/878#G/TBT/N/YEM/14</t>
  </si>
  <si>
    <t>The Cooperation Council for the Arab States of the Gulf Draft Technical Regulation for "Food packages made of aluminium foil" (7 pages  in Arabic)</t>
  </si>
  <si>
    <t>This draft technical regulation applies to food packages made from aluminium foil</t>
  </si>
  <si>
    <t>Food packages made of aluminium foil (ICS: 67.250)</t>
  </si>
  <si>
    <t>This draft technical regulation applies to food packages made from aluminium foil.</t>
  </si>
  <si>
    <t>Protection of Human health or Safety  Protection of Human health or Safety  Protection of Human health or Safety  Protection of Human health or Safety  Protection of Human health or Safety  Protection of Human health or Safety  Protection of Human health or Safety</t>
  </si>
  <si>
    <t>Bolivia  Plurinational State of</t>
  </si>
  <si>
    <t>G/TBT/N/BOL/3</t>
  </si>
  <si>
    <t>(12 pages  in Spanish).</t>
  </si>
  <si>
    <t>G/TBT/N/BRA/649</t>
  </si>
  <si>
    <t>Draft Technical Resolution nº 88  5 October 2015  Regarding the Technical Regulation on Food Additives and Technology Supporting Authorized to Use in Wine (8 pages  in Portuguese)</t>
  </si>
  <si>
    <t>Draft Technical Resolution nº 88  5 October 2015  Regarding the Technical Regulation on Food Additives and Technology Supporting Authorized to Use in Wine.&amp;nbsp This Resolution approves the Technical Regulation Regarding Food Additives and the Technology Supporting Authorized to Use in Wine.</t>
  </si>
  <si>
    <t>food additives and technology supporting used in wine. (HS 22.04)</t>
  </si>
  <si>
    <t xml:space="preserve"> HS codes: 2204 </t>
  </si>
  <si>
    <t>G/TBT/N/EGY/109</t>
  </si>
  <si>
    <t xml:space="preserve">Ministerial Decree No. 536 for the year 2015 concerning the modified Egyptian Standard ES 2732-1/2015 "Table Salt Fortified With Iodine and Test Methods - Part 1 : Table Salt Fortified With Iodine" (10 pages  in Arabic) that supersedes  its last edition in 2005 that has already been mandated by Ministerial Decree No. 515/2005 </t>
  </si>
  <si>
    <t>This Ministerial Decree provides producers and importers a transitional period of six months to comply with the modified&amp;nbsp  Egyptian Standard Egyptian Standard ES 2732-1/2015 "Table Salt Fortified With Iodine and Test Methods - Part 1: Table Salt Fortified With Iodine" (10 pages  in Arabic) that supersedes&amp;nbsp  its last edition in 2005 that has already been mandated by Ministerial Decree No. 515/2005 .This standard complies with Codex Standard No. 156/1985 (Amend 1 1999 Amend 2 2012) for food grade salt and B.S No. 998/1990 Amend 2006&amp;nbsp  "Specification for Vacuum Salt for Food Use".This standard specifies the essential requirements and descriptive criteria&amp;nbsp  for food grade salt fortified with iodine.</t>
  </si>
  <si>
    <t>Food grade salt</t>
  </si>
  <si>
    <t>G/TBT/N/EGY/108</t>
  </si>
  <si>
    <t>Ministerial Decree No. 536 for the year 2015 concerning the modified Egyptian Standard ES 273-1/2015 2 "Sodium Chloride - Part 1: Food Salt" (9 pages  in Arabic) that supersedes its last edition in 2005 that has already been mandated by Ministerial Decree No. 515/2005.</t>
  </si>
  <si>
    <t xml:space="preserve">This Ministerial Decree provides producers and importers a transitional period of six months to comply with the modified &amp;nbsp Egyptian Standard ES 273-1/2015 "Sodium Chloride - Part 1: Food Salt" that supersedes ES No. 273-1/2005&amp;nbsp &amp;nbsp "Sodium Chloride part 1: Food Salt"&amp;nbsp that has already been mandated by Ministerial Decree No. 515/2005This standard complies with Codex Standard No.150/1985&amp;nbsp  for food grade salt and B.S No. 998/1990 Amend 2006 "Specification for Vacuum Salt for food use". This standard specifies the essential requirements and descriptive criteria for food grade salt fortified with Iodine. </t>
  </si>
  <si>
    <t>G/TBT/N/TPKM/220</t>
  </si>
  <si>
    <t>Draft Amendment to "Items of Food Utensils  Food Containers or Packaging" to Which the Labelling Requirements Apply (1 pages  in English  1 pages  in Chinese)</t>
  </si>
  <si>
    <t>The proposed measure intends to amend the text of the current regulation.&amp;nbsp The text shall be: "Food utensils  food containers or packaging containing plastic materials that are in contact with food and produced after the effective date of this regulation  shall be labelled in accordance with Article 26 of the Act Governing Food Safety and Sanitation".</t>
  </si>
  <si>
    <t>food utensils  food containers or packaging containing plastic material.</t>
  </si>
  <si>
    <t>G/TBT/N/TPKM/219</t>
  </si>
  <si>
    <t>Draft Labelling Requirements for Food Utensils  Food Containers or Packaging (1 page  in English  1 page  in Chinese)</t>
  </si>
  <si>
    <t>In accordance with Article 26 of the Act Governing Food Safety and Sanitation  the labelling requirements are as follows:1.&amp;nbsp &amp;nbsp &amp;nbsp &amp;nbsp  Food utensils  food containers or packaging shall be labelled “for food use” or other synonymous expressions.2.&amp;nbsp &amp;nbsp &amp;nbsp &amp;nbsp  Food utensils  food containers or packaging containing plastic materials that are in contact with food  shall be labelled “for repetitive use”  or “disposable”  or other synonymous expressions.3.&amp;nbsp &amp;nbsp &amp;nbsp &amp;nbsp  Food utensils  food containers or packaging containing polyvinyl chloride (PVC) or polyvinylidene dichloride (PVDC) plastic materials that are in contact with food  shall be labelled "don’t contact food with oil and high temperature directly" or other synonymous expressions.</t>
  </si>
  <si>
    <t>food utensils  food containers or packaging containing plastic  material.</t>
  </si>
  <si>
    <t>G/TBT/N/USA/1036</t>
  </si>
  <si>
    <t>Availability of Updated FSIS Food Standards and Labeling Policy Book (2 pages  in English)</t>
  </si>
  <si>
    <t xml:space="preserve">The Food Safety and Inspection Service (FSIS) is announcing the Agency's intent to revise the Food Standards and Labeling Policy Book. The Agency has stopped adding policy guidance to it  however  FSIS will continue to amend or remove items in the book  as necessary  to remain consistent with Agency policies and regulations. The revised Food Standards and Labeling Policy Book will provide updated information for establishments to use when creating new labels and when modifying existing labels for meat and poultry products. </t>
  </si>
  <si>
    <t>Food standards and labeling policy</t>
  </si>
  <si>
    <t xml:space="preserve"> ICS codes: 67.020 </t>
  </si>
  <si>
    <t>G/TBT/N/KOR/604</t>
  </si>
  <si>
    <t>Proposed Establishment of the "Regulation for Designation of Certification Assurance Agency for Foods and Livestock Products" (19 pages  in Korean)</t>
  </si>
  <si>
    <t>The Ministry of Food and Drug Safety (MFDS) previously notified the proposed amendments to the Enforcement Rule of the Food Sanitation Act through G/SPS/N/KOR/507 with regards to the labelling of certifications or assurance of products. As follow-up measures  MFDS will establish the "Regulation for Designation of Certification·Assurance Agency for Foods and Livestock Products" in order to lay down procedures  qualification  etc. necessary for the designation of a Certification Assurance Agency  including the following: a) Establish details regarding the Deliberative Committeeb) Provide standards for designating a Certification Assurance Agencyc) Lay down the application procedures  specify qualifications  etc.d) Establish reporting requirements on designation status</t>
  </si>
  <si>
    <t>Foods  Livestock products</t>
  </si>
  <si>
    <t>G/TBT/N/ZAF/193</t>
  </si>
  <si>
    <t>Prohibition regarding the removal of imported regulated agricultural products intended for sale in the Republic of South Africa from prescribed ports of entry (6 pages  in English).</t>
  </si>
  <si>
    <t>The proposed prohibition notice prescribes the procedure for an application for inspection and/or removal of imported regulated agricultural products intended for sale in the Republic of South Africa from prescribed ports of entry.</t>
  </si>
  <si>
    <t>Fresh fruits and vegetables  dried beans  wheat and wheat products  maize and maize products  malting barley  groundnuts  sorghum  potatoes  soya beans  sunflower seeds  garlic  rice  canned products (fruits/vegetables/mushrooms/pasta)  frozen fruits and vegetables  dehydrated vegetables  fruit jiuces and drinks  dried fruit  honey  vinegar  fat spreads  poultry meat  red meat  eggs  mayonnaise and saled dressings  jams  jellies and marmalades  dairy and imitation dairy products and edible ices.</t>
  </si>
  <si>
    <t>G/TBT/N/KWT/277/Rev.1</t>
  </si>
  <si>
    <t>GCC Draft of Technical Regulation for labelling of all pre-packaged foodstuffs (14 pages  in English  17 pages  in Arabic)</t>
  </si>
  <si>
    <t>This draft technical regulation is concerned with labelling of all pre&amp;#8209 packaged foods and requirements relating to thepresentation thereof. Items related to general requirements  mandatory labelling of pre-packaged foods and presentation of mandatory information (items 4  5 and 7) are compulsory. The remaining items are voluntary.</t>
  </si>
  <si>
    <t>Labelling of pre packaged foodstuffs</t>
  </si>
  <si>
    <t>G/TBT/N/IDN/102</t>
  </si>
  <si>
    <t>Draft Regulation of the Chairman of NADFC-RI on the Control of Processed Food Advertising Control (20 pages  in Indonesian)</t>
  </si>
  <si>
    <t>All processed food might be advertised. Processed food could be advertised only after obtaining marketing approval from National Regulatory Authority.Information contained in the advertisement must be in accordance with the approved label  correct and not misleading.This draft regulation regulates processed food advertising before and after published. The provision for food advertisement before being published only applies to food for medical purpose and processed food with reduction of disease risk claim. The advertisement for this kind of food must be approved by National Regulatory before being published. This draft regulation replaces the regulation of the Chairman of NADFC RI No. HK.00.05.52.1831 Year 2008 on Guideline of Food Advertising.</t>
  </si>
  <si>
    <t>G/TBT/N/ZAF/88/Rev.1</t>
  </si>
  <si>
    <t>Regulations relating to the grading  packing and marking of maize products intended for sale in the Republic of South Africa in terms of the Agricultural Product Standards Act  1990 (Act No. 119 of 1990) (10 pages  in English)</t>
  </si>
  <si>
    <t>The proposed regulations cover the quality standards  contaibers  packing  and marking requirements  sampling and offences and penalties.</t>
  </si>
  <si>
    <t>Maize and maize products</t>
  </si>
  <si>
    <t xml:space="preserve"> ICS codes: 67  HS codes: 1005 </t>
  </si>
  <si>
    <t>G/TBT/N/TUR/67</t>
  </si>
  <si>
    <t>Turkish Food Codex Communique on the methods of sampling and performance criteria for the methods of analysis for the official control of the levels of erucic acid in certain foodstuffs.   (7 pages  in Turkish).</t>
  </si>
  <si>
    <t>This Communique establishes the methods for carrying out the sampling and analysis for the official control of the levels of erucic acid in the Turkish Food Codex Regulation on contaminants foodstuffs.It also establishes the performance criteria with which the method of analysis used for official control has to comply.</t>
  </si>
  <si>
    <t>Erucic acid in certain foodstuffs  namely: vegetable oils and fats  foods containing added vegetable oils and fats more than %5 and other foodstuffs (with possible risk of erucic acid content).</t>
  </si>
  <si>
    <t>G/TBT/N/KOR/598</t>
  </si>
  <si>
    <t>Proposed Amendments to the Act on Promotion of Environment-Friendly Agriculture and Fisheries  and Management and Support for Organic Foods   - Proposed Amendments to the enforcement rule of the Act on Promotion of Environment-friendly Agriculture and Fisheries  and Management and Support for Organic Foods (38 pages  in Korean  45 pages  in Korean).</t>
  </si>
  <si>
    <t>The main amended contents in this document are as follows:A.&amp;nbsp  Proposed Amendments to the Act on Promotion of Environment-friendly Agriculture&amp;nbsp  and&amp;nbsp &amp;nbsp  Fisheries  and Management and Support for Organic Foods -&amp;nbsp  Limit application of certification for a longer period of time for habitual violators (Article 20.2.1)-&amp;nbsp  Strengthen requirement standard for members of accreditation institute  apply longer period of time for re-appointment application  strengthen management of private certification institute by&amp;nbsp &amp;nbsp &amp;nbsp  adopting evaluation and rating system (Article 26.2  New Act) (Article 29) (Article 32.3)-&amp;nbsp  Strengthen requirement standard for certification body and adopt refresher training system (Article 26 2.4) (Article 26.3  New Act)-&amp;nbsp  Establish regulation for recall disposal of unqualified products to strengthen standard for post-certification management (Article 31.5) (Article 60.2)- Enhance organic agriculture equipment management standard by providing supplementary regulations for organic agriculture and fishery equipment (Article 41) (Article 60.2) (Article 53.2  New Act)- Establishment of legal system by setting scope of responsibility of greffier in charge of certification and public announcement  and other administrative procedures (Article 31.2  6) (Article 49.2  6)B.&amp;nbsp &amp;nbsp  Proposed Amendments to the enforcement&amp;nbsp  rule&amp;nbsp  of&amp;nbsp  the Act on Promotion of Environment-Friendly Agriculture and Fisheries  and Management and Support for Organic Foods  etc. under ministry of agriculture  food and rural affairs - New scope of coverage such as institution or organization in accordance with the revision of Article 26. 6 (Article 26.2)- Improvement of types of approved materials such as organic food and improvement of qualifications (Annex 1)- Strengthen hygiene management for certified products  new accreditation procedure for organic&amp;nbsp  seed  amendment of certification procedure such as strict procedure standard for certified work areas (Annex 3)- Adjustment of section according to the number of farmhouses for cancellation of certification  revision of administrative regulation such as punishment for violation of the certification standard (Annex 8)</t>
  </si>
  <si>
    <t>G/TBT/N/EGY/87</t>
  </si>
  <si>
    <t>Draft Egyptian Standard for Maximum Level for Certain Contaminants in Foodstuffs (33 pages  in Arabic) to supersede E.S No. 7136/2010 that has been already mandated by Ministerial Decree No. 266/2011.</t>
  </si>
  <si>
    <t>The draft Egyptian Standard for Maximum Level for Certain Contaminants in Foodstuffs specifies the general rules of contaminants in food  it also includes lists for Maximum levels for certain contaminants in foodstuffs. It complies with EC Directive No. 1881/2006 “Maximum Levels for Certain Contaminants in Foodstuffs".</t>
  </si>
  <si>
    <t>Contaminants in food</t>
  </si>
  <si>
    <t>G/TBT/N/USA/1019</t>
  </si>
  <si>
    <t>National Organic Program (NOP)  Sunset 2015 Amendments to the National List (4 pages  in English)</t>
  </si>
  <si>
    <t>This proposed rule would address recommendations submitted to the Secretary of Agriculture (Secretary) by the National Organic Standards Board (NOSB) following their October 2014 meeting. These recommendations pertain to the 2015 Sunset Review of substances on the U.S. Department of Agriculture's (USDA) National List of Allowed and Prohibited Substances (National List). Consistent with the recommendations from the NOSB  this proposed rule would remove two non- organic agricultural substances from the National List for use in organic handling  fortified cooking wines--marsala wine and sherry wine. This proposed rule would also remove two listings for synthetic substances allowed for use in organic crop production on the National List  streptomycin and tetracycline  as their use exemptions expired on 21 October 2014.</t>
  </si>
  <si>
    <t>Non-organic agricultural substances</t>
  </si>
  <si>
    <t>G/TBT/N/KWT/278</t>
  </si>
  <si>
    <t>GCC Draft of Technical Regulation for labelling of all pre-packaged foodsstuffs (14 pages  in English  17 pages  in Arabic)</t>
  </si>
  <si>
    <t>This draft technical regulation is concerned with labelling of all pre&amp;#8209 packaged foods and requirements relating to the presentation thereof. Items related to general requirements  mandatory labelling of pre-packaged foods and presentation of mandatory information (items 4  5 and 7) are compulsory. The remaining items are voluntary.</t>
  </si>
  <si>
    <t>Labelling of pre-packaged foodstuffs</t>
  </si>
  <si>
    <t>G/TBT/N/TPKM/211</t>
  </si>
  <si>
    <t>Draft of Regulations Governing the Labeling of Restructured Meat Products (2 pages  in English  3 pages  in Chinese).</t>
  </si>
  <si>
    <t xml:space="preserve">Based on the provisions of subparagraph 10 of paragraph 1 of Article 22  and paragraph 2 of Article 25 of the Act Governing Food Safety and Sanitation  the MOHW proposes to announce the labelling requirement of&amp;nbsp Restructured Meat Products to offer consumer the right of choice. </t>
  </si>
  <si>
    <t>G/TBT/N/TPKM/210</t>
  </si>
  <si>
    <t>The partial amend Regulations of Inspection of Imported Foods and Related Products (1 pages  in English).</t>
  </si>
  <si>
    <t xml:space="preserve">The FDA partially amended the Regulations of Inspection of Imported Foods and Related Products. </t>
  </si>
  <si>
    <t>Imported Foods and Related Products</t>
  </si>
  <si>
    <t>Viet Nam</t>
  </si>
  <si>
    <t>G/TBT/N/VNM/66</t>
  </si>
  <si>
    <t>Draft Decree on Fortified Food</t>
  </si>
  <si>
    <t>This Decree specifies mandatory micronutrients which need to be added in food  and food subject to micronutrients fortification to prevent and recover from micronutrient deficiencies in public. Foods are subject to add micronutrients including: oil  flour  food grade salt and soy sauce.Food stated in point (b)  (c)  (d) Paragraph 1  Article 5 is compulsory to follow the requirements after a year the Decree takes effect. Manufacturers  sellers and importers are encouraged to apply before the enforcement date.Food stated in Article 4  5 produced before the effective date is allowed to circulate until the expired date shown on the product packages.</t>
  </si>
  <si>
    <t>Fortified food</t>
  </si>
  <si>
    <t>G/TBT/N/KWT/277</t>
  </si>
  <si>
    <t>GCC Draft of Technical Regulation for labelling of all pre-packaged foods stuffs (14 pages  in English  17 pages  in Arabic)</t>
  </si>
  <si>
    <t>This draft technical regulation is concerned with labelling of all pre-packaged foods and requirements relating to the presentation thereof. Items related to general requirements  mandatory labelling of pre-packaged foods and presentation of mandatory information (items 4  5 and 7) are compulsory. The remaining items are voluntary.</t>
  </si>
  <si>
    <t>Labelling of pre-packaged food stuffs</t>
  </si>
  <si>
    <t>G/TBT/N/SAU/855</t>
  </si>
  <si>
    <t>The Kingdom of Saudi Arabia / The Cooperation Council for the Arab States of the Gulf Draft Technical Regulation for "Vitamins and Minerals Permitted for Use in Foodstuff " (14 pages  in Arabic)</t>
  </si>
  <si>
    <t>This draft technical regulation applies to vitamins and minerals permitted for use in foodstuffs.</t>
  </si>
  <si>
    <t xml:space="preserve">Vitamins and minerals permitted for use in foodstuff (ICS: 67.040) </t>
  </si>
  <si>
    <t>G/TBT/N/TUR/66</t>
  </si>
  <si>
    <t>Turkish Food Codex Communiqué on Amending the Communiqué on Food Supplements (2 page  in Turkish)</t>
  </si>
  <si>
    <t>The purpose of this Communiqué is to determine the essential composition and labelling rules of food supplements.</t>
  </si>
  <si>
    <t>Food Supplements</t>
  </si>
  <si>
    <t>G/TBT/N/EU/298</t>
  </si>
  <si>
    <t>Draft Commission Regulation refusing to authorise certain health claims made on foods  other than those referring to the reduction of disease risk and to children's development and health (4 pages + 2 pages of annex  in English)..</t>
  </si>
  <si>
    <t>G/TBT/N/ARE/263</t>
  </si>
  <si>
    <t>UAE Control scheme for processed and prepared foods to be used for infants &amp; Childs (8 pages  in Arabic).</t>
  </si>
  <si>
    <t xml:space="preserve">This UAE control scheme is apply to all prepared and processed food products intended to use for infants and Childs </t>
  </si>
  <si>
    <t>baby food</t>
  </si>
  <si>
    <t>G/TBT/N/EU/296</t>
  </si>
  <si>
    <t>Draft Commission Regulation authorising a health claim made on foods  other than those referring to the reduction of disease risk and to children's development and health and amending Regulation (EU) No 432/2012 (4 pages + 2 pages of annex  in English)</t>
  </si>
  <si>
    <t>This draft Commission Regulation concerns the authorisation of one health claim made on foods  other than those referring to the reduction of disease risk and to children's development and health in accordance with Article 18(4) of Regulation (EC) No 1924/2006 of the European Parliament and of the Council of 20 December 2006 on nutrition and health claims made on foods.</t>
  </si>
  <si>
    <t>G/TBT/N/EU/295</t>
  </si>
  <si>
    <t>This draft Commission Regulation concerns the rejection of one health claim made on foods and referring to the reduction of disease risk in accordance with Article 17(3) of Regulation (EC) No 1924/2006 of the European Parliament and of the Council of 20 December 2006 on nutrition and health claims made on foods.</t>
  </si>
  <si>
    <t>G/TBT/N/IDN/101</t>
  </si>
  <si>
    <t>Regulation of the Chairman of NADFC RI No 1 Year 2015 concerning Food Category (285 pages  in Indonesian)</t>
  </si>
  <si>
    <t>This regulation replaces the Chairman of NADFC Regulation  Number&amp;nbsp HK.00.05.42.4040 Year 2006 concerning Food Category. There are 16 food categories (which are divided based on their characteristics)  i.e.:1.&amp;nbsp &amp;nbsp &amp;nbsp &amp;nbsp &amp;nbsp &amp;nbsp &amp;nbsp &amp;nbsp  Dairy products and analogues  excluding products of food category number 22.&amp;nbsp &amp;nbsp &amp;nbsp &amp;nbsp &amp;nbsp &amp;nbsp &amp;nbsp &amp;nbsp  Fats and oils  and fat emulsions3.&amp;nbsp &amp;nbsp &amp;nbsp &amp;nbsp &amp;nbsp &amp;nbsp &amp;nbsp &amp;nbsp  Edible ice  including sherbet and sorbet4.&amp;nbsp &amp;nbsp &amp;nbsp &amp;nbsp &amp;nbsp &amp;nbsp &amp;nbsp &amp;nbsp  Fruits and vegetables (including mushrooms and fungi  roots and tubers  pulses and legumes  and aloe vera)  seaweeds  and nuts and seeds5.&amp;nbsp &amp;nbsp &amp;nbsp &amp;nbsp &amp;nbsp &amp;nbsp &amp;nbsp &amp;nbsp  Confectionery6.&amp;nbsp &amp;nbsp &amp;nbsp &amp;nbsp &amp;nbsp &amp;nbsp &amp;nbsp &amp;nbsp  Cereals and cereal products  derived from cereal grains  from roots and tubers  pulses  legumes and pith or soft core of palm tree  excluding bakery wares of food category number 77.&amp;nbsp &amp;nbsp &amp;nbsp &amp;nbsp &amp;nbsp &amp;nbsp &amp;nbsp &amp;nbsp  Bakery wares8.&amp;nbsp &amp;nbsp &amp;nbsp &amp;nbsp &amp;nbsp &amp;nbsp &amp;nbsp &amp;nbsp  Meat and meat products  including poultry and game9.&amp;nbsp &amp;nbsp &amp;nbsp &amp;nbsp &amp;nbsp &amp;nbsp &amp;nbsp &amp;nbsp  Fish and fish products  including molluscs  crustaceans  and echinoderms10.&amp;nbsp &amp;nbsp &amp;nbsp &amp;nbsp &amp;nbsp  Egg and egg products11.&amp;nbsp &amp;nbsp &amp;nbsp &amp;nbsp &amp;nbsp  Sweeteners  including honey12.&amp;nbsp &amp;nbsp &amp;nbsp &amp;nbsp &amp;nbsp  Salts  spices  soups  sauces  salads and protein products13.&amp;nbsp &amp;nbsp &amp;nbsp &amp;nbsp &amp;nbsp  Foodstuffs intended for particular nutritional uses14.&amp;nbsp &amp;nbsp &amp;nbsp &amp;nbsp &amp;nbsp  Beverages  excluding dairy products15.&amp;nbsp &amp;nbsp &amp;nbsp &amp;nbsp &amp;nbsp  Ready-to-eat savouries16.&amp;nbsp &amp;nbsp &amp;nbsp &amp;nbsp &amp;nbsp  Prepared foods(This category refers to the General Standard for Food Additives Codex Stan 192-1995  last revision in 2014)Any food which does not include in the above categories  will be determinated by the written consent of the Chairman of NADFC.Annexes I to Annexes XVI Regulation of the Chairman of NADFC RI No. 1 Year 2015 establishes the definition and characteristic of each category.As Mexico requested  Tequila is defined as a Mexican alcoholic beverage produced from the heart of the Agave tequilana Weber blue variety  cultivated within the limits of the territory established by the Declaration for the Protection of the Appellation of Origin of Tequila and which specification regarding raw materials  production process  physical-chemical specifications and judicial requirements in line with the Mexican Technical Regulation..</t>
  </si>
  <si>
    <t>G/TBT/N/EU/293</t>
  </si>
  <si>
    <t>Draft Commission Delegated Regulation supplementing Regulation (EU) No 609/2013 of the European Parliament and of the Council as regards the specific compositional and information requirements for food for special medical purposes (13 pages + 8 pages of annex  in English)</t>
  </si>
  <si>
    <t>This draft Commission Delegated Regulation lays down rules for food for special medical purposes in the EU pursuant to Article 11(1) of Regulation (EU) No 609/2013 of the European Parliament and of the Council of 12 June 2013 on food intended for infants and young children  food for special medical purposes and total diet replacement for weight control.</t>
  </si>
  <si>
    <t>G/TBT/N/EU/292</t>
  </si>
  <si>
    <t>Draft Commission Delegated Regulation supplementing Regulation (EU) No 609/2013 of the European Parliament and of the Council as regards the specific compositional and information requirements for processed cereal-based food and baby food (9 pages + 11 pages of annex  in English)</t>
  </si>
  <si>
    <t>This draft Commission Delegated Regulation lays down rules for processed cereal-based food and baby food in the EU pursuant to Article 11(1) of Regulation (EU) No 609/2013 of the European Parliament and of the Council of 12 June 2013 on food intended for infants and young children  food for special medical purposes and total diet replacement for weight control.</t>
  </si>
  <si>
    <t>G/TBT/N/EU/291</t>
  </si>
  <si>
    <t>Draft Commission Delegated Regulation supplementing Regulation (EU) No 609/2013 of the European Parliament and of the Council as regards the specific compositional and information requirements for infant formula and follow-on formula and as regards requirements on information relating to infant and young child feeding (15 pages + 21 pages of annex  in English)</t>
  </si>
  <si>
    <t>This draft Commission Delegated Regulation lays down rules for infant formula and follow-on formula in the EU pursuant to Article 11(1) of Regulation (EU) No 609/2013 of the European Parliament and of the Council of 12 June 2013 on Food Intended for Infants and Young Children  Food for Special Medical Purposes and Total Diet Replacement for Weight Control.</t>
  </si>
  <si>
    <t>G/TBT/N/TUR/64</t>
  </si>
  <si>
    <t>Turkish Food Codex Communiqué on Amending the Communiqué on Sports Foods  2015 (1 pages  in Turkish)</t>
  </si>
  <si>
    <t>The purpose of this Communiqué&amp;nbsp is to determine the composition of sports foods</t>
  </si>
  <si>
    <t>Sports Foods</t>
  </si>
  <si>
    <t>G/TBT/N/TPKM/207</t>
  </si>
  <si>
    <t>Public Notice (food No.1041301020) issued by Ministry of Health and Welfare: "Draft of Food Businesses Shall Establish Traceability System of Food Products"  (5 pages  in English  4 pages  in Chinese)</t>
  </si>
  <si>
    <t>Based on Article 9 of the Act Governing Food and Safety Sanitation  the MOHW regulates that the food businesses shall establish traceability system of food products. In current regulation  food importers and manufactures of edible oil and fat have been required to establish traceability system since 31&amp;nbsp October 2014  and food importers and manufactures of meat products  dairy products  seafood products  lunch box  food additives and materials of genetically modified foods  since 5 February 2015. Moreover  in this draft food importers and manufactures of soybeans  wheat  maize (corn)  wheat flour  starches  food grade salts and sugars also shall establish traceability system.</t>
  </si>
  <si>
    <t>Edible oils and fats  meat products  dairy products  seafood products  lunch box  food additives  materials of genetically modified foods  soybeans  wheat  maize(corn)  wheat flour  starches  food grade salts  sugars  tea leaves  prepackaged tea drinks or soybean products.</t>
  </si>
  <si>
    <t>G/TBT/N/TPKM/205</t>
  </si>
  <si>
    <t xml:space="preserve"> Public Notice under the Commodity Inspection Act (2 pages  in English  2 pages  in Chinese)</t>
  </si>
  <si>
    <t>In order to protect consumer rights and interests  BSMI will implement an inspection regime for rimmed-frame or fixed-shape suitcases with wheels or dragger. No matter where suitcases are domestically produced or imported from abroad  they must be in compliance with the inspection requirements before they are released from the production premises or the customs. The inspection items include chemical materials test  physical performance test  and labelling check.</t>
  </si>
  <si>
    <t>Suitcases&amp;#65288 HS/CCCN 4202.11.00.00.5  4202.12.00.10.2  4202.12.00.20.0  4202.19.00.00.7&amp;#65289 The HS/CCCN codes are for reference only and the scope will be the rimmed-frame or fixed-shape suitcases with wheels or dragger.</t>
  </si>
  <si>
    <t xml:space="preserve"> HS codes: 4202  420211  420219  420212 </t>
  </si>
  <si>
    <t>Prevention of deceptive practices and consumer protection  Quality requirements</t>
  </si>
  <si>
    <t>G/TBT/N/EU/284</t>
  </si>
  <si>
    <t>Proposal for a Regulation of the European Parliament and of the Council amending Regulation (EC) No 1829/2003 as regards the possibility for the Member States to restrict or prohibit the use of genetically modified food and feed on their territory (COM(2015) 177 final)  (13 pages  in English  14 pages  in French  14 pages  in Spanish).</t>
  </si>
  <si>
    <t>Once adopted by the European Parliament and the Council of the EU  this proposal will create a legal basis for the EU Member States to restrict or ban  if they deem it necessary in a given case  the use of EU authorised genetically modified food and feed on the basis of compelling grounds and in accordance with EU law (and  in particular  the principles of proportionality and non-discrimination) and which shall  in no case conflict with the risk assessment carried out pursuant to Regulation (EC) No 1829/2003. The proposal concerns the possibility to introduce restrictions on the use of genetically modified food and feed  not the import and the placing on the market in the EU. Any national restrictions would not extend to food and feed in which there is a presence of EU authorised GMOs  if this presence is below the labelling threshold applicable to these products (0.9% by ingredients) and is adventitious or technically unavoidable.</t>
  </si>
  <si>
    <t>Genetically modified food and feed in the sense of Articles 3 and 15 of Regulation (EC) No 1829/2003 of the European Parliament and of the Council on genetically modified food and feed.</t>
  </si>
  <si>
    <t>G/TBT/N/BRA/636</t>
  </si>
  <si>
    <t>Draft Technical Resolution nº 42  May 13th 2015  regarding Good Manufacturing Practices of establishments that manufacture food packaging and the respective GMP checklist. (18 pages  in Portuguese).</t>
  </si>
  <si>
    <t xml:space="preserve">Draft Technical Resolution nº 42  May 13th 2015  regarding Good Manufacturing Practices of establishments that manufacture food packaging and the respective GMP checklist.This Resolution applies to the establishments that manufacture packaging that is meant to be in direct contact with food. The establishments have 18 (eighteen) months from the date of the publication of this Resolution to promote the necessary adjustments to its fulfilment. </t>
  </si>
  <si>
    <t>food packaging</t>
  </si>
  <si>
    <t>G/TBT/N/USA/992</t>
  </si>
  <si>
    <t>Amendments to Registration of Food Facilities (30 pages  in English).</t>
  </si>
  <si>
    <t>The Food and Drug Administration (FDA or we) is proposing to amend its regulation for registration of food facilities that requires domestic and foreign facilities that manufacture/process  pack  or hold food for human or animal consumption in the United States to register with FDA. This proposed rule would amend and update FDA's registration regulations and is part of our implementation of the FDA Food Safety Modernization Act (FSMA)  which added new provisions for the registration of food facilities. Moreover  a number of provisions in FSMA apply only to facilities required to register  including hazard analysis and risk-based preventive controls and mandatory recall authority. The proposed amendments will further enhance FDA's capabilities with respect to responding to food safety issues  and in addition  provide FDA with information that we can use to focus and better utilize our limited inspection resources.</t>
  </si>
  <si>
    <t>Food facilities</t>
  </si>
  <si>
    <t xml:space="preserve"> ICS codes: 67.020  67.260 </t>
  </si>
  <si>
    <t>G/TBT/N/OMN/206</t>
  </si>
  <si>
    <t>Extraction Solvents and Its Residue Limits in the Production Foodstuffs and Food Ingredients (9 pages  in Arabic only)</t>
  </si>
  <si>
    <t>This Omani/Gulf draft technical regulation applies to extraction solvents used in the production of foodstuffs or food ingredients  unless product specifications states opposite. Items related to requirements and labelling (items 4 and 6) are compulsory. The remaining items are voluntary.</t>
  </si>
  <si>
    <t>Extraction solvents and its residue limits in the production foodstuffs and food ingredients (ICS: 67.040)</t>
  </si>
  <si>
    <t>G/TBT/N/BHR/389</t>
  </si>
  <si>
    <t>Extraction Solvents and Its Residue Limits in the Production of Foodstuffs and Food Ingredients (8 pages  in Arabic  7 pages  in English)</t>
  </si>
  <si>
    <t>The notified draft technical regulation specifies the mandatory requirements of labelling stated in the Gulf Standard document GSO 717 related to "Extraction Solvents and Its Residue Limits in the Production Foodstuffs and Food Ingredients" under clause 8. The labelling and adjoining explanatory statements shall be written in Arabic and  where another language is used  it shall be alongside the Arabic. All the information provided in another language shall be identical with those written in Arabic.It is illustrated and shall be declared on the label of the product as follows:• The commercial name of the product • The special storage conditions or conditions of use• The business name and address of the manufacturer or packer or of a seller established within the Community</t>
  </si>
  <si>
    <t>Extraction solvents and its residue limits in the production of foodstuffs and food ingredients (ICS Code: 67.040)</t>
  </si>
  <si>
    <t>Prevention of deceptive practices and consumer protection  Protection of Human health or Safety  Consumer information  Labelling</t>
  </si>
  <si>
    <t>G/TBT/N/KWT/269</t>
  </si>
  <si>
    <t xml:space="preserve">The Cooperation Council for the Arab States of the Gulf Draft Technical Regulation for "Extraction solvents and it's residue limits in the production foodstuffs and food ingredients" (8 pages  in Arabic)    </t>
  </si>
  <si>
    <t>This draft technical regulation applies to extraction solvents used in the production of foodstuffs or food ingredients. Unless product specifications states opposite.</t>
  </si>
  <si>
    <t>Extraction solvents and it’s residue limits in the production foodstuffs and food ingredients (ICS: 67.040)</t>
  </si>
  <si>
    <t>G/TBT/N/QAT/385</t>
  </si>
  <si>
    <t>The Cooperation Council for the Arab States of the Gulf Draft Technical Regulation for "Extraction Solvents and It’s Residue Limits in the Production Foodstuffs and Food Ingredients" (8 pages  in Arabic)</t>
  </si>
  <si>
    <t>Extraction solvents and it's residue limits in the production foodstuffs and food ingredients (ICS: 67.040)</t>
  </si>
  <si>
    <t>G/TBT/N/SAU/846</t>
  </si>
  <si>
    <t>The Kingdom of Saudi Arabia / The Cooperation Council for the Arab States of the Gulf Draft Technical Regulation for "Extraction solvents and it’s residue limits in the production of foodstuffs and food ingredients" (7 pages  in English)</t>
  </si>
  <si>
    <t>This draft technical regulation applies to extraction solvents used in the production of foodstuffs or food ingredients  unless product specifications states opposite.</t>
  </si>
  <si>
    <t>G/TBT/N/BHR/383</t>
  </si>
  <si>
    <t>Maximum Limits of Pesticides Residues and Contaminants in Organic Food (4 pages  in English  6 pages  in Arabic)</t>
  </si>
  <si>
    <t>This draft technical regulation provides the maximum residue limits of pesticides and contaminants that are allowed in organic food.</t>
  </si>
  <si>
    <t>Foodstuffs: Maximum limits of pesticides residues and contaminants in organic food (ICS Code: 65.100 and 67.040)</t>
  </si>
  <si>
    <t>G/TBT/N/BHR/381</t>
  </si>
  <si>
    <t>Additives Permitted for Use in Foodstuffs (287  pages in English  290 pages  in Arabic)</t>
  </si>
  <si>
    <t>This draft technical regulation specifies the requirements stated in the Gulf standard under clauses 7 &amp;amp  8 (packaging and labelling) as mandatory requirements.It describes the packaging requirements of the product that it should be packed in clean  suitable safe containers with lids to avoid external atmosphere or contamination. Also  the materials used in packaging must not react with the product.It also describes the labelling requirements as follows:The product should be without prejudice to what is stated in the Gulf Standard mentioned in GSO 9 "Labelling of Prepackaged Foodstuffs" and the following should be included in the label:·&amp;nbsp &amp;nbsp &amp;nbsp &amp;nbsp &amp;nbsp &amp;nbsp &amp;nbsp &amp;nbsp &amp;nbsp &amp;nbsp &amp;nbsp &amp;nbsp &amp;nbsp &amp;nbsp &amp;nbsp &amp;nbsp Common name or EEC number. ·&amp;nbsp &amp;nbsp &amp;nbsp &amp;nbsp &amp;nbsp &amp;nbsp &amp;nbsp &amp;nbsp &amp;nbsp &amp;nbsp &amp;nbsp &amp;nbsp &amp;nbsp &amp;nbsp &amp;nbsp  Colouring Matters (Name of solvent or diluent  dye purity grade  the statement "free from alcohol"  the statement "colouring matter for food"  the statement "Do not exposure to light" in case of colouring matter affected by light. Dates of production and expiry  batch number. In case of colores (Tartrazine INS 102  Sunset yellow INS&amp;nbsp 110  Azorubine (Carmoisine) INS 122 and/or Allura red INS 129) added the following shall be declared:·&amp;nbsp &amp;nbsp &amp;nbsp &amp;nbsp &amp;nbsp &amp;nbsp &amp;nbsp  Use distinguishable mark (*).·&amp;nbsp &amp;nbsp &amp;nbsp &amp;nbsp &amp;nbsp &amp;nbsp &amp;nbsp  Write the following statement "This material may be having a negative effect on activity and concentration in children" under contents·&amp;nbsp &amp;nbsp &amp;nbsp &amp;nbsp &amp;nbsp &amp;nbsp &amp;nbsp &amp;nbsp &amp;nbsp &amp;nbsp &amp;nbsp &amp;nbsp &amp;nbsp &amp;nbsp &amp;nbsp  Sweeteners (Food products formulated specifically for use by diabetics or for other special nutritional uses shall contain the statement "Food for special dietary use  or food for diabetic". The amount of sweeteners matter  mg/ liter or kg  in case of using combination of sweeteners  the amount of each in combination shall be declared. The following cautions shall be declared:·&amp;nbsp &amp;nbsp &amp;nbsp &amp;nbsp &amp;nbsp &amp;nbsp &amp;nbsp  In the case of aspartame - Not to be used by persons who have phenyl "ketonuria". The maximum intake shall not exceed 40 mg/kg of body weight.·&amp;nbsp &amp;nbsp &amp;nbsp &amp;nbsp &amp;nbsp &amp;nbsp &amp;nbsp  In the case of saccharine  "Use of this product may be hazardous to your health  because it contains saccharin which has been determined to cause cancer in laboratory animals". ·&amp;nbsp &amp;nbsp &amp;nbsp &amp;nbsp &amp;nbsp &amp;nbsp &amp;nbsp  In the case of sorbitol or xylitol: "Excess of consumed quantity of sorbitol or xylitol over 40 g per day may cause diarrhea (laxation)". ·&amp;nbsp &amp;nbsp &amp;nbsp &amp;nbsp &amp;nbsp &amp;nbsp &amp;nbsp  In the case of manitol: "Excess of consumed quantity of manitol over 20 g per day may cause diarrhea (laxation)". ·&amp;nbsp &amp;nbsp &amp;nbsp &amp;nbsp &amp;nbsp &amp;nbsp &amp;nbsp  In the case of sugar alcohol's (polyols)1 "Excess of consumed quantity may be cause "diarrhea"".·&amp;nbsp &amp;nbsp &amp;nbsp &amp;nbsp &amp;nbsp &amp;nbsp &amp;nbsp &amp;nbsp &amp;nbsp &amp;nbsp &amp;nbsp &amp;nbsp &amp;nbsp &amp;nbsp &amp;nbsp  Antioxidant :The statement "Antioxidant permitted for use in foodstuffs" in case of antioxidant containers. ·&amp;nbsp &amp;nbsp &amp;nbsp &amp;nbsp &amp;nbsp &amp;nbsp &amp;nbsp &amp;nbsp &amp;nbsp &amp;nbsp &amp;nbsp &amp;nbsp &amp;nbsp &amp;nbsp &amp;nbsp  Emulsifiers  stabilizers and thickeners: In case of gelatine  lecithins and mono - and di-glycerides the source shall be mentioned.Preservatives: The statement "Preservative for use in food products" in case of preservatives containers.</t>
  </si>
  <si>
    <t>Foodstuffs: additives permitted for use in foodstuffs (ICS Code: 67.220.20)</t>
  </si>
  <si>
    <t>G/TBT/N/SAU/841</t>
  </si>
  <si>
    <t>The Kingdom of Saudi Arabia / The Cooperation Council for the Arab States of the Gulf Draft Technical Regulation for "Microbiological Criteria for Foodstuffs" (33 pages  in English  46 pages  in Arabic)</t>
  </si>
  <si>
    <t>This draft technical regulation applies to microbiological limits for some foodstuffs intended for human consumption  and for some food ingredients used in food industry.</t>
  </si>
  <si>
    <t>Microbiological criteria for foodstuffs (ICS Code: 67.050)</t>
  </si>
  <si>
    <t>G/TBT/N/SAU/840</t>
  </si>
  <si>
    <t>The Kingdom of Saudi Arabia / The Cooperation Council for the Arab States of the Gulf Draft Technical Regulation for "Maximum Residues Limits (Mrls) of Veterinary Drugs in Food" (169 pages  in English  163 pages  in Arabic)</t>
  </si>
  <si>
    <t>This draft technical regulation applies to maximum residues limits for the veterinary drugs in food and food products of animal origin. Furthermore  the present GSO technical standard has an appendix referring to the withdrawal periods from animal's body as well as residue markers and methods of detection.</t>
  </si>
  <si>
    <t>Maximum residues limits (Mrls) of veterinary drugs in food (ICS: 67.040.00)</t>
  </si>
  <si>
    <t>G/TBT/N/TPKM/168/Rev.1</t>
  </si>
  <si>
    <t>Public Notice (Food No. 1031304788) issued by the Food and Drug Administration  Ministry of Health and Welfare: "Draft of Amendment on Labelling Requirements for Prepackaged Food Containing Ingredients of Genetically Modified Organisms"  "Draft of Amendment on Labelling Requirements for Food Additives Containing Ingredients of Genetically Modified Organisms” and ”Draft of Amendment on Labelling Requirements for Unpackaged Food Containing Ingredients of Genetically Modified Organisms" (5 pages  in Chinese  6 pages  in English)</t>
  </si>
  <si>
    <t>1. The date of entry into force of the prepackaged food  food additives regulation is advanced from 1 January 2016 to 1 June 2015. The effect date of the unpackaged food regulation is advanced from 1 January 2016 to 1 June 2015 by 3 stages of objects and items  and end on 1 January 2016 2.&amp;nbsp  Food or food ingredient that are highly refined and where the processing removes all transgenic DNA fragment or transgenic proteins have to label 3. Food contains GMOs which exist international trade of GMOs may display the words “un-genetically-modified” or “with un-genetic modification” and could displays the words “the proportion of material which contains  consists of or is produced from GMOs considered individually is approved for use in a regulation of _______(country) or other synonymous terms” or the proportion of material which contains  consists of or is produced from GMOs considered individually 4.&amp;nbsp  The length and the width of the font is amplified from 2mm&amp;nbsp to 5 mm.</t>
  </si>
  <si>
    <t>prepackaged food  food additives and unpackaged food containing ingredients of genetically modified organisms</t>
  </si>
  <si>
    <t>G/TBT/N/EU/269</t>
  </si>
  <si>
    <t>Draft Commission Regulation refusing to authorise certain health claims made on foods and referring to children's development and health (4 pages + Annex 2 pages  in English)</t>
  </si>
  <si>
    <t>This draft Commission Regulation concerns the refusal of authorisation of three health claims made on foods and referring to children's development and health in accordance with Article 17(3) of Regulation (EC) No 1924/2006 of the European Parliament and of the Council of 20 December 2006 on Nutrition and Health Claims Made on Foods.</t>
  </si>
  <si>
    <t>G/TBT/N/EU/268</t>
  </si>
  <si>
    <t>Draft Commission Regulation refusing to authorise a health claim made on foods  other than those referring to the reduction of disease risk and to children's development and health (3 pages + Annex 2 pages  in English)</t>
  </si>
  <si>
    <t>This draft Commission Regulation concerns the refusal of authorisation of one health claim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</si>
  <si>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G/TBT/N/KWT/268</t>
  </si>
  <si>
    <t>Requirements for Handling of Ready-To-Eat-Foods (13 pages in English  10 pages  in Arabic)</t>
  </si>
  <si>
    <t>This technical regulation contains definition  general requirements  requirements for inputs and ingredients  requirements for transportation  reception andstorage  of foods  requirements for the area of preparation  requirements for preliminary preparation  requirements for final preparation  requirements for street food marketing  requirements for protection of sale foods  requirements for vendors.</t>
  </si>
  <si>
    <t xml:space="preserve">Requirements for handling of ready-to-eat-foods (ICS: 67.060)  </t>
  </si>
  <si>
    <t>G/TBT/N/ARE/255</t>
  </si>
  <si>
    <t>Draft of UAE GCC Technical Regulation ''Foods for Special Dietary – Low Energy Drinks" (12 pages  in Arabic)</t>
  </si>
  <si>
    <t>This draft of UAE/GCC technical regulation is concerned with the basic requirements of&amp;nbsp natural and artificial carbonated drinks and low-calorie drink intended to use for diabetics and diet (weight loss)  and methods of inspection and testing.</t>
  </si>
  <si>
    <t>G/TBT/N/ARE/256</t>
  </si>
  <si>
    <t>Draft of UAE GCC Technical Regulation "School Biscuits" (5 pages  in Arabic)</t>
  </si>
  <si>
    <t>This draft of UAE/GCC technical regulation is concerned with the basic requirements of biscuits allocated for the purposes of school feeding.</t>
  </si>
  <si>
    <t>G/TBT/N/KOR/561</t>
  </si>
  <si>
    <t>Abolishment of the public notice on the types of usable foreign organic processed foods by verification of compliance with standards</t>
  </si>
  <si>
    <t>- Abolishment of the Public Notice on the Types of Usable Foreign Organic Processed Foods by Verification of Compliance with Standards which has been effective on 4 November 2013 (No. 2013-29) - This public notice enters into force after a year from the d</t>
  </si>
  <si>
    <t>Pakistan</t>
  </si>
  <si>
    <t>G/TBT/N/HKG/47</t>
  </si>
  <si>
    <t>Consultation Document on Proposed Regulatory Framework on Nutrition and Health Claims on Infant Formula  Follow-up Formula  and Prepackaged Foods for Infants and Young Children Under the Age of 36 Months in Hong Kong (52 pages  in English  51 pages  in Chinese)</t>
  </si>
  <si>
    <t>The consultation document invites views on the proposed regulatory framework for enhancing the regulation of nutrition and health claims on formula products and foods for infants and young children under the age of 36 months in Hong Kong.&amp;nbsp  The proposed regulatory framework will encompass the following elements:a)&amp;nbsp The establishment of five overarching principles to delineate the boundary of the regulatory framework and to prescribe conditions that will bind any claims eventually allowed b)&amp;nbsp The regulatory options for the product-claim combinations that are within the bounds of the relevant overarching principles c)&amp;nbsp  The development of a mechanism for establishing and maintaining a list of approved claims and the corresponding conditions d)&amp;nbsp &amp;nbsp The establishment of a mechanism for revising the list of approved claims e)The provision of clear definition of claims f)&amp;nbsp &amp;nbsp The possible establishment of a set of Nutrient Reference Values specifically for infants and young children  and(g)&amp;nbsp The establishment of a grace period to allow sufficient time for the trade to comply with the new requirements.</t>
  </si>
  <si>
    <t>Infant formula  follow-up formula  and prepackaged foods for infants and young children under the age of 36 months</t>
  </si>
  <si>
    <t>Hong Kong  China</t>
  </si>
  <si>
    <t>G/TBT/N/TPKM/199</t>
  </si>
  <si>
    <t>Public Notice (Food No.1031303085) issued by Ministry of Health and Welfare: Draft for “The content of related health effects ingredients shall be labeled in a prominent manner on the container or packaging of health food” (1 page  in English  1 page  in Chinese)</t>
  </si>
  <si>
    <t>According to subparagraph 10 of the first paragraph of Article 13 of the Health Food Control Act  the MOHW proposed a requirement for labeling the content of relatedhealth effects ingredients of health food.</t>
  </si>
  <si>
    <t>G/TBT/N/TPKM/198</t>
  </si>
  <si>
    <t>Public Notice (Food No. 1031302995) issued by Ministry of Health and Welfare: Draft for “Enforcement Rules of Health Food Control Act” (2 pages  in English  4 pages  in Chinese)</t>
  </si>
  <si>
    <t>The amendments include editorial changes to update the title of the Act Governing Food Safety and Sanitation quoted in several Articles (Articles 9  10 and 12) and extension of application of the Act Governing Food Safety and Sanitation to nutritional labeling of health food (insertion of the text “subparagraph 9” to paragraph 1  Article 12).</t>
  </si>
  <si>
    <t>G/TBT/N/BHR/380</t>
  </si>
  <si>
    <t>Microbiological criteria for foodstuffs (28 pages  in English  41 pages  in Arabic)</t>
  </si>
  <si>
    <t>This draft technical regulation is concerned with microbiological limits for some foodstuffs intended for human consumption and for some food ingredients used in food industry  definition  requirements  criteria of technical conformity.</t>
  </si>
  <si>
    <t>G/TBT/N/TPKM/194</t>
  </si>
  <si>
    <t>Document requirement for food additive combinations (1 page  in Chinese  English translation available)</t>
  </si>
  <si>
    <t>Importers of food additive combinations shall obtain and keep a certificate of product ingredients issued by its original manufacturer or responsible business  and a certificate issued by the competent authority of the country of origin  for the examinations of competent authorities at all levels.</t>
  </si>
  <si>
    <t>The food additive combinations</t>
  </si>
  <si>
    <t>G/TBT/N/QAT/376</t>
  </si>
  <si>
    <t>Halal Food – Part 1: General Requirements (7 pages  in Arabic)</t>
  </si>
  <si>
    <t>This draft technical regulation is concerned with General Requirements for Halal Food  which specifies the definitions of the product and the general requirements for Halal food which must be followed in each stage of the food chain for the production  transportation  storage and labelling of halal food.</t>
  </si>
  <si>
    <t>Food products (ICS Code: 67.040)</t>
  </si>
  <si>
    <t>G/TBT/N/TPKM/193</t>
  </si>
  <si>
    <t>Draft Amendment to Articles 4 and 10 of Regulation Governing the Registration of Food Businesses (8 pages  in Chinese).</t>
  </si>
  <si>
    <t>The product information on food additives  food ustensils  food containers or packaging containing plastic food contact material shall be registered on “fadenbook (http://fadenbook.fda.gov.tw)”</t>
  </si>
  <si>
    <t>Food additives  food utensils  food containers or packaging containing plastic food contact material.</t>
  </si>
  <si>
    <t>G/TBT/N/TPKM/192</t>
  </si>
  <si>
    <t>Act Governing Food Safety and Sanitation (13 pages  in Chinese)</t>
  </si>
  <si>
    <t>A Decree was promulgated to amend the Act Governing Food Safety and Sanitation on 10 December 2014. The key features of the new amendment are: the listedcompanies  OTC companies and food enterprises under certain category or with certain scale shall establish laboratories for self-testing  food enterprises subject to establishment of traceability system shall follow the requirements of competent authorities to use electronic invoices on stages for accuracy of tracing  the factories for food or food additives shall be established independently and the production  processing and preparation of non-food commodities is prohibited  imposes comprehensively stricter penalties on non-compliant businesses.</t>
  </si>
  <si>
    <t>G/TBT/N/UGA/452</t>
  </si>
  <si>
    <t>FDUS EAS 803:2014  Nutrition Labelling - Requirements (19 pages  in English)</t>
  </si>
  <si>
    <t>This final draft Uganda Standard specifies requirements for the nutrition labelling of foods. The standard applies to the nutrition labelling of all foods except for foods for special dietary uses.</t>
  </si>
  <si>
    <t xml:space="preserve"> ICS codes: 67.230 </t>
  </si>
  <si>
    <t>G/TBT/N/UGA/451</t>
  </si>
  <si>
    <t>FDUS EAS 804:2014   Claims - General Requirements (13 pages  in English)</t>
  </si>
  <si>
    <t>This final draft Uganda Standard specifies general requirements for claims made on a food irrespective of whether or not the food is covered by an individual East African Standard.</t>
  </si>
  <si>
    <t>G/TBT/N/UGA/450</t>
  </si>
  <si>
    <t>FDUS EAS 805:2014  Use of nutrition and health claims - Requirements (19 pages  in English)</t>
  </si>
  <si>
    <t>This final draft Uganda Standard specifies requirements for the use of nutrition and health claims in food labelling and in advertising. This standard applies to all foods for which nutrition and health claims are made without prejudice to specific provisions under other standards or guidelines relating to foods for special dietary uses and foods for special medical purposes.</t>
  </si>
  <si>
    <t>G/TBT/N/ARE/251</t>
  </si>
  <si>
    <t>Updating the UAE GCC Draft Technical Regulation for Microbiological Criteria for Food Stuffs (33 pages  in English  46 pages  in Arabic)</t>
  </si>
  <si>
    <t>G/TBT/N/IDN/95</t>
  </si>
  <si>
    <t>Regulation of the Chairman of NADFC RI No. 43 Year 2013  Amendment of the Chairman of NADFC RI Regulation No. HK.03.1.5.12.11.09956 Year 2011 on Processed Food Registration Procedure (7 pages  in Indonesian)</t>
  </si>
  <si>
    <t>This regulation amending some articles in The Chairman of NADFC RI Regulation No. HK.03.1.5.12.11.09956 Year 2011. The changes were related to some of the definitions&amp;nbsp in Article 1  the title of Chapter II  some of the provisions regarding registration of variations  the title of Chapter IV  as well as provisions regarding re-registration.The regulation also adds a new Article  namely Article 13A which regulates registration of variations with minor changes. Applicant who submits the registration variation with minor changes can take action without waiting for the approval&amp;nbsp from The&amp;nbsp Chairman&amp;nbsp of NADFC.</t>
  </si>
  <si>
    <t xml:space="preserve">processed food </t>
  </si>
  <si>
    <t>G/TBT/N/IDN/92</t>
  </si>
  <si>
    <t>Regulation of the Chairman of NADFC RI No. 1 Year 2013 on Electronic Registration of Processed Food (10 pages  in Indonesian)</t>
  </si>
  <si>
    <t>This regulation described the procedure electronic registration for processed food based on level of risk as following&amp;nbsp criteria:1.&amp;nbsp &amp;nbsp &amp;nbsp  Costumer target2.&amp;nbsp &amp;nbsp &amp;nbsp  Material ingredients 3.&amp;nbsp &amp;nbsp &amp;nbsp  Acidity and water activity 4.&amp;nbsp &amp;nbsp &amp;nbsp  Inclusion of nutritionor health claims on labels5.&amp;nbsp &amp;nbsp &amp;nbsp  Manufacturing process by specific technology  example irradiation  genetic engineering  and organic products.Types of processed food&amp;nbsp which&amp;nbsp can be done&amp;nbsp through&amp;nbsp electronically registration determine by the Deputy&amp;nbsp of Food Safety and Hazardous Substances Control. The applicant should&amp;nbsp apply through website http://www.pom.go.id. to obtain ID and password&amp;nbsp before applying Electronic Registration&amp;nbsp for Processed Food. E-Registration Requirements&amp;nbsp for Processed Food refers to the&amp;nbsp Chairman&amp;nbsp of&amp;nbsp NADFC&amp;nbsp Regulation No.HK.03.1.5.12.11.099552011 on Processed Food Registration.</t>
  </si>
  <si>
    <t>G/TBT/N/ARE/249</t>
  </si>
  <si>
    <t>UAE /GCC Draft Technical Regulation for "Maximum  Residues Limits (Mrls) of Veterinary Drugs in Food" (159 pages  in English  163 pages  in Arabic)</t>
  </si>
  <si>
    <t>G/TBT/N/ARE/248</t>
  </si>
  <si>
    <t>Updating the UAE GCC Technical Regulation "Sweeteners Permitted in Food"</t>
  </si>
  <si>
    <t>This draft of UAE/GCC technical regulation is concerned with sugar substitutes permitted for use in energy-reduced food as sweeteners  or food without added sugar or diabetics and foods for special nutrition uses.</t>
  </si>
  <si>
    <t>G/TBT/N/SAU/829</t>
  </si>
  <si>
    <t>The Kingdom of Saudi Arabia / The Cooperation Council for the Arab States of the Gulf Draft Technical Regulation for "Hygienic Conditions for School Canteens and Handled Food" (34 pages  in Arabic)</t>
  </si>
  <si>
    <t>This draft technical regulation applies to the general hygienic requirements  requirements for receiving foodstuffs  requirements for storage foodstuffs  requirements for preparation of foods  requirements for food importer to school canteens  prohibited food in school canteens and control.</t>
  </si>
  <si>
    <t>Hygienic conditions for school canteens and handled foods (ICS: 67.040)</t>
  </si>
  <si>
    <t>G/TBT/N/USA/941</t>
  </si>
  <si>
    <t>Exemption of Organic Products from Assessment under a Commodity Promotion Law (26 pages  in English)</t>
  </si>
  <si>
    <t>This proposal would modify the organic assessment exemption regulations under 23 Federal marketing orders and 22 research and promotion programs. The current regulations would be amended to allow persons that produce  handle  market  or import certified organic products to be exempt from paying assessments associated with commodity promotion activities  including paid advertising  conducted under a commodity promotion program administered by the Agricultural Marketing Service (AMS). The exemption would cover all "organic" and "100 percent organic" products certified under the National Organic Program regardless of whether the person requesting the exemption also produces  handles  markets  or imports conventional or nonorganic products. Currently  only persons that exclusively produce and market products certified as 100 percent organic are eligible for an exemption from assessments under commodity promotion programs. The authority for this proposal is in section 10004 of the Agricultural Act of 2014.</t>
  </si>
  <si>
    <t>Organic products</t>
  </si>
  <si>
    <t>G/TBT/N/SAU/822</t>
  </si>
  <si>
    <t>The Kingdom of Saudi Arabia / The Cooperation Council for the Arab States of the Gulf Draft Technical Regulation for "Requirements for Handling of Ready-to-Eat Foods" (11 pages in English  15 pages  in Arabic)</t>
  </si>
  <si>
    <t>This draft technical applies to the requirements for handling of ready-to-eat foods  handling  preparation  its requirements and keeping.</t>
  </si>
  <si>
    <t>Requirements for handling of ready-to- eat-foods (ICS 67.230)</t>
  </si>
  <si>
    <t>G/TBT/N/QAT/370</t>
  </si>
  <si>
    <t>This draft technical regulation is concerned with microbiological limits for some foodstuffs intended for human consumption and for some food ingredients used in foodindustry  definition  requirements  criteria of technical conformity.</t>
  </si>
  <si>
    <t>G/TBT/N/QAT/369</t>
  </si>
  <si>
    <t>Maximum Limits of Pesticides Residues and Contaminants in Organic Food" (4 pages  in English  6 pages  in Arabic)</t>
  </si>
  <si>
    <t>This draft technical regulation is provides maximum residue limits of pesticides and contaminants are allowed in organic food.</t>
  </si>
  <si>
    <t>Foodstuffs: maximum limits of pesticides residues and contaminants in organic food (ICS Codes: 65.100 and 67.040)</t>
  </si>
  <si>
    <t>G/TBT/N/QAT/368</t>
  </si>
  <si>
    <t>"Maximum Residues Limits (Mrls) of Veterinary Drugs in Food" (159 pages  in English  163 pages  in Arabic)</t>
  </si>
  <si>
    <t>G/TBT/N/QAT/367</t>
  </si>
  <si>
    <t>Sweeteners Permitted for Use in Food Products (9 pages  in English  15 pages  in Arabic)</t>
  </si>
  <si>
    <t>This draft technical regulation applies to sugar substitutes for diabetics and foods for special dietary uses.</t>
  </si>
  <si>
    <t>Foodstuffs: sweeteners permitted for use in food products (ICS: 67.180.10)</t>
  </si>
  <si>
    <t>G/TBT/N/QAT/366</t>
  </si>
  <si>
    <t>"Additives Permitted for Use in Foodstuffs" (287 pages  in English  290 pages  in English)</t>
  </si>
  <si>
    <t>This draft technical regulation applies to the food additives permitted for use in foodstuffs.</t>
  </si>
  <si>
    <t>G/TBT/N/USA/940</t>
  </si>
  <si>
    <t xml:space="preserve">The Food and Drug Administration (FDA or we) is establishing 1 January 2018  as the uniform compliance date for food labeling regulations that are issued between 1 January 2015  and 31 December 2016. We periodically announce uniform compliance dates for new food labeling requirements to minimize the economic impact of label changes. On 28 November 2012  we established 1 January 2016  as the uniform compliance date for food labeling regulations issued between 1 January 2013  and 31 December 2014. </t>
  </si>
  <si>
    <t>G/TBT/N/OMN/194</t>
  </si>
  <si>
    <t>Sweeteners Permitted for Use in Food Products (9 pages  in English  17 pages  in Arabic)</t>
  </si>
  <si>
    <t>This Omani/Gulf draft technical regulation applies to sugar substitutes permitted for use in energy-reduced food as sweeteners  food without added sugar for diabetics and foods for special dietary uses. Items related to requirements  labelling (items 4 and 7) are compulsory. The remaining items are voluntary.</t>
  </si>
  <si>
    <t>Foodstuffs: Sweeteners permitted for use in food products (ICS Code: 67.180.10)</t>
  </si>
  <si>
    <t>G/TBT/N/KWT/255</t>
  </si>
  <si>
    <t>The state of Kuwait/The Cooperation Council for the Arab States of the Gulf - Draft Technical Regulation for "Maximum Residues Limits (Mrls) of Veterinary Drugs in Food" (159 pages  in English  163 pages  in Arabic)</t>
  </si>
  <si>
    <t>Maximum Residues Limits (MRLs) of Veterinary Drugs In Food (ICS: 67.040.00)</t>
  </si>
  <si>
    <t>G/TBT/N/OMN/193</t>
  </si>
  <si>
    <t>Microbiological criteria for foodstuffs (33 pages  in English  46 pages  in Arabic)</t>
  </si>
  <si>
    <t>This Omani/Gulf draft technical regulation concerns microbiological limits for some foodstuffs intended for human consumption and for some food ingredients used in food industry  definition  requirements  criteria of technical conformity. Items related to requirements  (items 4) are compulsory. The remaining items are voluntary.</t>
  </si>
  <si>
    <t>G/TBT/N/KWT/253</t>
  </si>
  <si>
    <t>Kuwait / The Cooperation Council for the Arab States of the Gulf Draft Technical Regulation for "Sweeteners Permitted for Use in Food Products" (9 pages  in English  15 pages  in Arabic)</t>
  </si>
  <si>
    <t>This draft technical regulation applies to sugar substitutes permitted for use in energy-reduced Food as sweeteners  food without added sugar or diabetics and foods for special dietary uses.</t>
  </si>
  <si>
    <t>Foodstuffs: Sweeteners permitted for use in food products (ICS Code: 67.220)</t>
  </si>
  <si>
    <t>G/TBT/N/KWT/252</t>
  </si>
  <si>
    <t>G/TBT/N/USA/938</t>
  </si>
  <si>
    <t>Uniform Compliance Date for Food Labeling Regulations (3 pages  in English)</t>
  </si>
  <si>
    <t xml:space="preserve">The Food Safety and Inspection Service (FSIS) is establishing 1 January 2018  as the uniform compliance date for new meat and poultry product labeling regulations that are issued between 1 January 2015  and 31 December 2016. FSIS periodically announces uniform compliance dates for new meat and poultry product labeling regulations to minimize the economic impact of label changes. </t>
  </si>
  <si>
    <t>G/TBT/N/ARE/244</t>
  </si>
  <si>
    <t>Draft Technical Regulation for "Maximum Limits of Pesticides Residues and Contaminants in Organic Food" (4 pages  in English  6 pages  in Arabic)</t>
  </si>
  <si>
    <t>Foodstuffs: Maximum Limits Of Pesticides Residues and Contaminants in Organic Food</t>
  </si>
  <si>
    <t xml:space="preserve"> ICS codes: 65.100  67.040 </t>
  </si>
  <si>
    <t>G/TBT/N/OMN/192</t>
  </si>
  <si>
    <t>Foodstuffs: Maximum Limits of Pesticides Residues and Contaminants in Organic Food (ICS Code: 65.100 and 67.040) (5 pages  in English  7 pages  in Arabic)</t>
  </si>
  <si>
    <t>This Omani/Gulf draft technical regulation concerns the technical regulation&amp;nbsp which provides maximum residue limits of pesticides and contaminants allowed in organic food.</t>
  </si>
  <si>
    <t>G/TBT/N/KWT/251</t>
  </si>
  <si>
    <t>The Cooperation Council for the Arab States of the Gulf Draft Technical Regulation for "Maximum Limits of Pesticides Residues and Contaminants in Organic Food" (4 pages  in English  6 pages  in Arabic)</t>
  </si>
  <si>
    <t>This draft technical regulation provides maximum residue limits of pesticides and contaminants are allowed in organic food.</t>
  </si>
  <si>
    <t>Foodstuffs: maximum limits of pesticides residues and contaminants in organic food (ICS Code: 65.100 and 67.040)</t>
  </si>
  <si>
    <t>G/TBT/N/SAU/820</t>
  </si>
  <si>
    <t>The Kingdom of Saudi Arabia / The Cooperation Council for the Arab States of the Gulf Draft Technical Regulation for "Corn Flakes" (8 pages  in English  9 pages  in Arabic)</t>
  </si>
  <si>
    <t>This draft technical regulation applies to the requirements that must be met in corn flakes.</t>
  </si>
  <si>
    <t>Foodstuffs: corn flakes (ICS Code: 67.060)</t>
  </si>
  <si>
    <t>G/TBT/N/SAU/812</t>
  </si>
  <si>
    <t>The Kingdom of Saudi Arabia / The Cooperation Council for the Arab States of the Gulf Draft Technical Regulation for "General Requirements for Halal Food" (7 pages  in Arabic)</t>
  </si>
  <si>
    <t>This draft technical applies to general requirements for Halal food  which specifies the definitions of the product  and the general requirements for Halal food  which must be followed in each stage of the food chain for the products of Halal foods  transportation  storage and labelling.</t>
  </si>
  <si>
    <t>General requirements for Halal food (ICS Code: 67.040)</t>
  </si>
  <si>
    <t>G/TBT/N/TPKM/187</t>
  </si>
  <si>
    <t>The food businesses which import food and genetically modified food raw materials shall keep the relevant records  documents and electronic files or databases of the imported products (draft).</t>
  </si>
  <si>
    <t>Based on Article 32 of the Act Governing Food Safety and Sanitation  the FDA would like to request the food businesses which import food and genetically modified food raw materials to keep the relevant records  documents and electronic files or databases of the imported products.</t>
  </si>
  <si>
    <t>G/TBT/N/EU/144/Rev.1</t>
  </si>
  <si>
    <t>Draft Commission Delegated Regulation amending Regulation (EU) No 1169/2011 of the European Parliament and of the Council on the provision of food information to consumers as regards the definition of 'engineered nanomaterials' (6 pages  in English).</t>
  </si>
  <si>
    <t>Regulation (EU) No 1169/2011 of the European Parliament and of the Council of 25&amp;nbsp October 2011 on the provision of food information to consumers establishes the general principles  requirements and responsibilities governing food information  and in particular food labelling. In order to inform consumers of the presence of engineered nanomaterials in food  Regulation (EU) No 1169/2011 provides that all ingredients present in the form of engineered nanomaterials must be clearly indicated in the list of ingredients and the names of such ingredients must be followed by the word 'nano' in brackets. In addition  it provides a definition of engineered nanomaterials  which may be adjusted and adapted to technical and scientific progress or to definitions agreed at international level  by means of delegated acts  for the purposes of achieving the objectives of the Regulation.On 18 October 2011  the Commission adopted Recommendation 2011/696/EU on the definition of nanomaterial. On 12 December 2013  the Commission adopted a Delegated Regulation amending Regulation (EU) No 1169/2011 as regards the definition of ‘engineered nanomaterials’ (notified under reference G/TBT/N/EU/144). The proposed definition  amongst others  excluded food additives set out in the EuropeanUnion lists referred to in Article 4 of Regulation (EC) No 1333/2008 of the European Parliament and of the Council by Commission Regulations (EU) No 1129/2011 and (EU) No 1130/2011.On 12 March 2014  the European Parliament objected to the Commission delegated Regulation  by means of a Resolution  as it excluded certain food additives from the definition of ‘engineered nanomaterials’. The notified draft Delegated Regulation adapts the definition of 'engineered nanomaterials' laid down in Regulation (EU) No 1169/2011 to the Commission Recommendation 2011/696/EU  taking into account the position of the European Parliament.&amp;nbsp  It differs from the draft Delegated Regulation notified under G/TBT/N/EU/144 in that the exemption of certain food additives from the scope of the definition of engineered nanomaterials has been deleted.&amp;nbsp  Also  recitals (6) and (8) have been revised slightly for purposes of clarity.</t>
  </si>
  <si>
    <t>Foods with ingredients present in the form of 'engineered nanomaterials'</t>
  </si>
  <si>
    <t>G/TBT/N/EU/251</t>
  </si>
  <si>
    <t>Draft Commission Regulation refusing to authorise certain health claims made on foods and referring to the reduction of disease risk (4 pages + Annex 2 pages  in English)..</t>
  </si>
  <si>
    <t>This draft Commission Regulation concerns the rejection of two health claims made on foods and referring to the reduction of disease risk in accordance with Article 17(3) of Regulation (EC) No 1924/2006 of the European Parliament and of the Council of 20 December 2006 on nutrition and health claims made on foods.</t>
  </si>
  <si>
    <t>G/TBT/N/EU/249</t>
  </si>
  <si>
    <t>Draft Commission Regulation Authorising a Health Claim Made on Foods  Other Than Those Referring to the Reduction of Disease Risk and to Children's Development and Health and Amending Regulation (EU) No 432/2012 (4 pages + Annex 2 pages  in English)</t>
  </si>
  <si>
    <t>This draft Commission Regulation concerns the authorisation of one health claim made on foods  other than those referring to the reduction of disease risk and to children's development and health in accordance with Articles 18(4) and 19 of Regulation (EC) No 1924/2006 of the European Parliament and of the Council of 20 December 2006 on Nutrition and Health Claims Made on Foods.</t>
  </si>
  <si>
    <t>G/TBT/N/KOR/537</t>
  </si>
  <si>
    <t>Proposed Revision of the “Labelling Standards for Foods” (51 pages  in Korean)</t>
  </si>
  <si>
    <t>The Ministry of Food and Drug Safety (MFDS) will partly amend "Labelling Standards for Foods" in order to clarify existing provisions on the labelling methods of ingredients including the following: a) Clarify the allowable tolerance range for declared caffeine content in high caffeine products b) Add consumer warning statement on beer can label as "don’t use directly on cooking appliances such as gas stoves"  c) Delete the mandatory labelling “not microwavable” on utensils  containers and packages made of polystyrene  melamine-formaldehyde resin  phenol-formaldehyde resin  urea-formaldehyde&amp;nbsp resin d) Require the labelling "microwavable" if the utensils  containers and packages are made of synthetic resin appropriate with KS S5603:2007 (Plastics food receptacles for microwave oven use) standarde) Require the declaration of materials used in utensils  containers and packages made of rubber f) Amend labelling regarding the term ‘MSG’  g) Establish labelling standards on tank lorry for foods  h) Amend labelling method of alcoholic beverages (distilled spirits and whisky are not required to list the ingredients or raw materials used in their production on the product label).i) Improve labelling method of ingredients  j) Foods made from wheat  rye  barley or their crossbred varieties which have been specially processed to remove gluten  given that the gluten level does not exceed 20mg/kg in total  may be labelled as “Gluten-Free” k) Rstablish mandatory requirements of labelling the content of red pepper powder on primary display panel of ‘Gochujang’ (hot pepper paste)  l) Prohibit the use of the term ‘water’ as part of a beverage products’ name which has similar characteristics as ‘drinkable water’ (ex. Clear liquid  etc).m) Remove the mandatory labelling of colour index and activity for enzyme (food additive)</t>
  </si>
  <si>
    <t>G/TBT/N/BHR/373</t>
  </si>
  <si>
    <t>Requirements for handling of ready-to-eat-foods (13 pages  in English  18 pages  in Arabic)</t>
  </si>
  <si>
    <t>This draft technical regulation specifies the requirements stated in the Gulf Standard No. 1909 "Requirements for Handling of Ready-to-Eat-Foods" under Clause 4.2.1.2 (labeling) as mandatory requirements. The product should be without prejudice to what is stated in the Gulf Standard No. 9 "Labeling of Prepackaged Foodstuffs" and GSO 150-1 "Expiration Dates for Food Products - Part 1"  accordingly the following should be included in the label:Manufactures nameCleary stated shelf life</t>
  </si>
  <si>
    <t>Requirements for handling of ready-to-eat-foods (ICS: 67.060)</t>
  </si>
  <si>
    <t>G/TBT/N/BHR/371</t>
  </si>
  <si>
    <t>Hygienic conditions for school canteens and handled food (33 pages  in Arabic)</t>
  </si>
  <si>
    <t>This draft technical regulation specifies the requirements stated in the Gulf standard No. 1971 "Hygienic Conditions for School Canteens and Handled Food" under clauses 8.2.13 and 10 (labeling) as mandatory requirements. The product should be without prejudice to what is stated in the Gulf standards mentioned in No. 9 "Labeling of Prepackaged Foodstuffs" and GSO 150 "Expiration dates for food products"  accordingly the following should be included in the label:Serving size per cup &amp;amp  serving size per containerCalories and calories from fatNutrition facts (saturated fat/trans fat/cholesterol/sodium/carbohydrates/dietary fiber/sugars/protein)Expiration date and date of opening</t>
  </si>
  <si>
    <t>Hygienic conditions for school canteens and handled food (ICS: 67.020)</t>
  </si>
  <si>
    <t>Protection of Human health or Safety  Consumer information  Labelling</t>
  </si>
  <si>
    <t>G/TBT/N/TPKM/185</t>
  </si>
  <si>
    <t>Public Notice (food No. 1031300232) issued by the Ministry of Health and Welfare: Draft for “Regulations governing the labeling of special dietary foods for patients” (3 pages  in English  2 pages  in Chinese)</t>
  </si>
  <si>
    <t>Additional labeling of foods for special medical purposes shall be completed in the manner prescribed in this notice. The amendment includes renaming the regulation (Regulations governing the labeling of formula for certain disease)  revision of legal basis  and changing terminology from "special dietary foods for patients" to "formula for certain disease".</t>
  </si>
  <si>
    <t>Specific  dietary foods for patients</t>
  </si>
  <si>
    <t>G/TBT/N/JPN/470</t>
  </si>
  <si>
    <t>Proposal for the Food Labelling Standard based on the Food Labelling Act (3 pages  in English)</t>
  </si>
  <si>
    <t>The current labelling standards under existing Acts shall be revised and improved. The new standard allows food function claims based on scientific evidence without government approval but with premarket notification under the responsibility of manufacturers and producers.</t>
  </si>
  <si>
    <t>processed foods and fresh foods</t>
  </si>
  <si>
    <t>G/TBT/N/EU/247</t>
  </si>
  <si>
    <t>Draft Commission Regulation refusing to authorise certain health claims made on foods  other than those referring to the reduction of disease risk and to children's development and health (5 pages + Annex 3 pages  in English)</t>
  </si>
  <si>
    <t>This draft Commission Regulation concerns the refusal of authorisation of seven health claims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</si>
  <si>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G/TBT/N/KWT/247</t>
  </si>
  <si>
    <t>Hygienic Conditions for School Canteens and Handled Foods (30 pages  in Arabic)</t>
  </si>
  <si>
    <t>This technical regulation contains definition  general hygienic requirements  requirements for receiving food stuffs  requirements for storage of food stuffs  requirements for preparation of foods  requirements for food importers to school canteens  prohibited food in school canteens and control.</t>
  </si>
  <si>
    <t>Hygienic conditions for school canteens and handled foods (ICS 67.020)</t>
  </si>
  <si>
    <t>G/TBT/N/OMN/187</t>
  </si>
  <si>
    <t>Hygienic Conditions for School Canteens and Handled Foods (Available in Arabic only 33 pages)</t>
  </si>
  <si>
    <t>This Omani/Gulf draft technical regulation concerns the hygienic conditions for school canteens and handled&amp;nbsp foods. All items are compulsory  except items related to scope  complementary references and definitions (1  2 and 3) which are voluntary.</t>
  </si>
  <si>
    <t>Hygienic conditions for school canteens and handled foods (ICS: 67.020)</t>
  </si>
  <si>
    <t>G/TBT/N/KWT/242</t>
  </si>
  <si>
    <t>The Cooperation Council for the Arab States of the Gulf Draft Technical Regulation for "Corn Flakes" (6 pages  in English  8 pages  in Arabic)</t>
  </si>
  <si>
    <t>G/TBT/N/EU/245</t>
  </si>
  <si>
    <t>Draft Commission Regulation authorising a health claim made on foods  other than those referring to the reduction of disease risk and to children's development and health and amending Commission Regulation (EU) No 432/2012 (4 pages + Annex 2 pages  in English).</t>
  </si>
  <si>
    <t>G/TBT/N/EU/244</t>
  </si>
  <si>
    <t>Draft Commission Regulation refusing to authorise certain health claims made on foods  other than those referring to the reduction of disease risk and to children's development and health (5 pages + Annex 2 pages  in English).</t>
  </si>
  <si>
    <t>This draft Commission Regulation concerns the refusal of authorisation of five health claims made on foods  other than those referring to the reduction of disease risk and to children's development and health in accordance with Article 18(4) of Regulation (EC) No 1924/2006 of the European Parliament and of the Council of 20 December 2006 on nutrition and health claims made on foods.</t>
  </si>
  <si>
    <t>G/TBT/N/ZAF/179</t>
  </si>
  <si>
    <t>Regulations Relating to the Grading  Packing and Marking of Onions and Shallots Intended for Sale in the Republic of South Africa in Terms of the Agricultural Product Standards Act  1990 (Act No. 11 of 1990) (9 pages  in English)</t>
  </si>
  <si>
    <t>The proposed regulations cover the quality standards  containers  packing and marking requirements  sampling and offences and penalties.</t>
  </si>
  <si>
    <t>Onions and shallots (HS 070310)</t>
  </si>
  <si>
    <t xml:space="preserve"> ICS codes: 67  HS codes: 070310 </t>
  </si>
  <si>
    <t>G/TBT/N/QAT/355</t>
  </si>
  <si>
    <t>This technical regulation contains definition  general hygienic requirements  requirements for receiving food stuffs  requirements for storage food stuffs  requirements for preparation of foods  requirements for food importer to school canteens  prohibited food in school canteens and control.</t>
  </si>
  <si>
    <t xml:space="preserve">Hygienic conditions for school canteens and handled  foods (ICS 67.020)  </t>
  </si>
  <si>
    <t>G/TBT/N/QAT/352</t>
  </si>
  <si>
    <t>Requirements for Handling of Ready-To-Eat-Foods (13 pages  in English  10 pages  in Arabic)</t>
  </si>
  <si>
    <t>This technical regulation contains definition  general requirements  requirements for inputs and ingredients  requirements for transportation  reception and storage  of foods  requirements for the area of preparation  requirements for preliminary preparation  requirements for final preparation  requirements for street food marketing  requirements for protection of sale foods  requirements for vendors.</t>
  </si>
  <si>
    <t xml:space="preserve">Requirements for handling of ready-to-eat-foods (ICS 67.060)  </t>
  </si>
  <si>
    <t>Prevention of deceptive practices and consumer protection  Quality requirements  Consumer information  Labelling</t>
  </si>
  <si>
    <t>G/TBT/N/USA/921</t>
  </si>
  <si>
    <t>Discontinuing Export Certificates for Food Products That Contain Egg Products as an Ingredient (2 pages  in English).</t>
  </si>
  <si>
    <t>The Food Safety and Inspection Service (FSIS) is announcing that it will no longer issue export certificates for Food and Drug Administration (FDA)-regulated prepared or manufactured food products that contain egg products as an ingredient because the Agricultural Marketing Service has instituted a program to provide this service. FSIS will discontinue issuing certificates on 10 November 2014.</t>
  </si>
  <si>
    <t>Food products containing eggs</t>
  </si>
  <si>
    <t xml:space="preserve"> ICS codes: 67.040  67.120.20 </t>
  </si>
  <si>
    <t>G/TBT/N/TPKM/176</t>
  </si>
  <si>
    <t>Draft Certification of Sanitation and Safety Control of Food Businesses and Commission of Certification Regulations (4 pages in Chinese)</t>
  </si>
  <si>
    <t>Based on Article 8  Paragraph 6 of the Act Governing Food Safety and Sanitation  the Food and Drug Administration has proposed to conduct the certification of sanitation and safety control of food businesses  or commissioned to relevant certifying institutions.The Regulations govern the application procedures  certification method  the institution commissioned to perform such certification  commission procedures for certification and other related matters.</t>
  </si>
  <si>
    <t>G/TBT/N/ARE/225</t>
  </si>
  <si>
    <t xml:space="preserve">UAE Control Scheme for Materials Intended to Come Into Contact With Food  (11 pages in Arabic)  </t>
  </si>
  <si>
    <t xml:space="preserve">UAE draft of control Scheme concerned with Materials Intended to Come Into Contact With Food which is described in appendix (1) in the control scheme. This scheme does not apply to :&amp;nbsp materials and articles which are supplied as antiques protection or coating materials  such as the materials covering cheese rinds  prepared meat &amp;nbsp &amp;nbsp &amp;nbsp products or fruits  which form part of the food and may be consumed together with this food fixed public or private water supply equipment. This Standard also establishes definitions  general requirements  labeling and Traceability.Packaging Materials which does not directly touch the food. </t>
  </si>
  <si>
    <t>ICS 67.250  Materials and articles in contact with foodstuffs</t>
  </si>
  <si>
    <t>G/TBT/N/KOR/526</t>
  </si>
  <si>
    <t>Proposed Revision of the “Labelling Standards for Foods” (15 pages  in Korean).</t>
  </si>
  <si>
    <t>MFDS proposed the following revisions to the Labelling standards for foods : -&amp;nbsp &amp;nbsp &amp;nbsp &amp;nbsp &amp;nbsp &amp;nbsp  To extend the list of allergenic substances to be declared on the label.ü&amp;nbsp  Previous list(13) : eggs(limited to poultry)  milk  buckwheat  peanut  soybean  wheat  mackerel  crab  shrimp  pork  peach  tomato  sulphites(where concentrations of 10mg/kg or more as SO2 in the final product)ü&amp;nbsp  Newly added to the list(11) : walnut  pine nut  kiwi  chicken  clam  oyster  abalone  mussel  squid  beef  sesame seedn&amp;nbsp  To clearly highlight allergen labelling by presenting the allergenic substance list in a separate alert box of distinct background colour at the end of ingredient list(e.g.  “contains peanut substance”)n&amp;nbsp  To require common group name to be indicated next to allergenic substance using parenthesis (e.g.  “contains shrimp(crustacean) substance”)-&amp;nbsp &amp;nbsp &amp;nbsp &amp;nbsp &amp;nbsp &amp;nbsp  To increase the font size of the name and content of the ingredient to be declared on PDP when the ingredient name is used in the product’s name (12-point or greater à 14-point or greater) -&amp;nbsp &amp;nbsp &amp;nbsp &amp;nbsp &amp;nbsp &amp;nbsp  To clarify the phrase for allergy warning so as to prevent confusion regarding its interpretation.-&amp;nbsp &amp;nbsp &amp;nbsp  Delete the mandatory labelling of the detailed types of ‘bread’  and the mandatory labelling of the contents of peanuts or processed products of nuts.</t>
  </si>
  <si>
    <t>Ghana</t>
  </si>
  <si>
    <t>G/TBT/N/GHA/1/Rev.1</t>
  </si>
  <si>
    <t>Implementation of the Ghana Standards Authority Conformity Assessment Programme (G - CAP) (2 pages  in English)</t>
  </si>
  <si>
    <t>Prescribes the Implementation of Conformity Assessment of the Ghana Standards Authority .This&amp;nbsp  Conformity Assessment Program is to ensure Consumer Protection through the Prevention of unsafe and substandard products on the Ghanaian market. This Notification supersedes G/TBT/N/GHA/1.</t>
  </si>
  <si>
    <t>1. Toys  Games and Sports equipment  2. Electrical and Electronics  3. Automotive Products (including new and used vehicles)  4.Chemical Products  5. Mechanical Materials and Gas Appliances  6. Pulp of wood  paper and paperboard  7. Furniture (Wood and Metal articles)  8. Safety (Personal Protective Equipment)  9. Food and Food Products  10. Construction Materials  11. Selected Medical Devices and Pharmaceuticals  12. Fuel/Petroleum Products  13. Textile  Textile Articles and Leatherwear incl. African Prints  14. Selected Used Products (Used clothes and footwear )</t>
  </si>
  <si>
    <t>G/TBT/N/TPKM/174</t>
  </si>
  <si>
    <t xml:space="preserve">Draft of Food Business Shall Establish Traceability of Food and Relevant Products (2 pages  in Chinese  English translation available) </t>
  </si>
  <si>
    <t>Based on Article 9 of the Act Governing Food Safety and Sanitation  the FDA proposed to regulate that the food business shall establish traceability of food and relevant products.</t>
  </si>
  <si>
    <t>Meat products  dairy products  seafood products  lunch boxes  food additives  labelled as genetically modified or including genetically modified food and labelled as non-genetically modified food.</t>
  </si>
  <si>
    <t>G/TBT/N/JPN/465</t>
  </si>
  <si>
    <t>Proposal for the Food Labelling Standard Based on the Food Labelling Act (3 pages  in English)</t>
  </si>
  <si>
    <t>The Food Labelling Standard will be newly established by improving the existing labelling standards. The new standard shall make nutrition declaration mandatory such labels to contribute to the improvement of consumer’s health  considering international trends in nutrition labelling system. Note: This document is also notified via SPS notification.</t>
  </si>
  <si>
    <t>processed foods  fresh foods and food additives</t>
  </si>
  <si>
    <t>G/TBT/N/USA/917</t>
  </si>
  <si>
    <t>Energy Conservation Program: Test Procedure for Refrigerated Bottled or Canned Beverage Vending Machines (32 pages  in English)</t>
  </si>
  <si>
    <t>The U.S. Department of Energy (DOE) proposes to amend its test procedure for refrigerated bottled or canned beverage vending machines (BVM) in order to update the referenced method of test to ANSI/ASHRAE Standard 32.1-2010  eliminate the requirement to test at the 90 [deg]F ambient test condition  create a provision for testing at the lowest application product temperature  and incorporate provisions to account for the impact of low power modes on measured daily energy consumption (DEC). This notice of proposed rulemaking (NOPR) also proposes several amendments and clarifications to the DOE test procedure to improve the repeatability and remove ambiguity from the current BVM test procedure. DOE will hold a public meeting to receive and discuss comments on this NOPR.</t>
  </si>
  <si>
    <t>Beverage vending machines</t>
  </si>
  <si>
    <t xml:space="preserve"> ICS codes: 97.130  HS codes: 8476 </t>
  </si>
  <si>
    <t>Protection of the environment</t>
  </si>
  <si>
    <t>G/TBT/N/QAT/351</t>
  </si>
  <si>
    <t>Canned Strawberries (9 pages  in Arabic)</t>
  </si>
  <si>
    <t>This draft technical regulation applies to canned strawberries.</t>
  </si>
  <si>
    <t>Foodstuffs: canned strawberries (ICS Code: 67.080)</t>
  </si>
  <si>
    <t>G/TBT/N/MYS/52</t>
  </si>
  <si>
    <t>Draft Amendment of Regulation 26 and new Table V of Fifth A Schedule  Food Regulations 1985 : Added Nutrient (7 pages  in English)</t>
  </si>
  <si>
    <t>i)&amp;nbsp &amp;nbsp &amp;nbsp &amp;nbsp &amp;nbsp &amp;nbsp &amp;nbsp  The Draft Amendment of Regulation 26 The proposed draft amendment is to prescribe the requirements for claims related to nutrient addition. This include claims on food which is ‘enriched’  ‘fortified’  ‘strengthened’ or ‘enhanced’ with vitamins  minerals  other food components  amino acids or fatty acids as well as claims on food which ‘contain’  ‘added’ or ‘with’ vitamins  minerals  other food components  amino acids or fatty acids.ii)&amp;nbsp &amp;nbsp &amp;nbsp &amp;nbsp &amp;nbsp &amp;nbsp  New Table V of Fifth A ScheduleThe proposed new Table V prescribe the list of nutrient and condition for each permitted nutrient addition claim.</t>
  </si>
  <si>
    <t xml:space="preserve">All foods (ICS: 67)     </t>
  </si>
  <si>
    <t>G/TBT/N/QAT/344</t>
  </si>
  <si>
    <t>Fresh Tomatoes (8 pages  in Arabic)</t>
  </si>
  <si>
    <t>This draft technical regulation concerns requirements that need to be available in fresh tomatoes (class: Lycopersicon esculentum  family: Solanaceae).</t>
  </si>
  <si>
    <t>Foodstuffs fresh tomatoes (ICS Code: 67.080)</t>
  </si>
  <si>
    <t>G/TBT/N/JPN/463</t>
  </si>
  <si>
    <t>Proposed amendment to the Quality Labelling Standard for Genetically Modified Foods. (1 pages  in English).</t>
  </si>
  <si>
    <t>Stearidonic acid-containing soybean and processed foods containing it as a main ingredient will be added to the list of itemssubject to labelling in accordance with the Quality Labelling Standard forGenetically Modified Foods.</t>
  </si>
  <si>
    <t>Stearidonic acid-containing soybean and processed foods containing it as a main ingredient. (HS: 12.01)</t>
  </si>
  <si>
    <t xml:space="preserve"> HS codes: 1201 </t>
  </si>
  <si>
    <t>Quality requirements</t>
  </si>
  <si>
    <t>G/TBT/N/TPKM/172</t>
  </si>
  <si>
    <t>Draft of Regulations on Prepackaged Food Products Exempted from the List of Ingredients Labeling (1 page in Chinese  English translation available)</t>
  </si>
  <si>
    <t>According to Article 23 of the Act Governing Food Safety and Sanitation  the Food and Drug Administration  Ministry of Health and Welfare proposed the draft of Regulations on prepackaged food products exempted from the list of ingredients labelling.</t>
  </si>
  <si>
    <t>Prepackaged food products</t>
  </si>
  <si>
    <t>G/TBT/N/KWT/233</t>
  </si>
  <si>
    <t>The Cooperation Council for the Arab States of the Gulf Draft Technical Regulation for "Edible olive oil and olive pomace oil" (8 pages  in English  14 pages  in Arabic)</t>
  </si>
  <si>
    <t>This draft technicalregulation appliesto olive oil and olive pomace oils suitable for human consumption.</t>
  </si>
  <si>
    <t>Foodstuffs: Edible olive oil and olive pomace oil (ICS Code: 67.200)</t>
  </si>
  <si>
    <t>G/TBT/N/KWT/232</t>
  </si>
  <si>
    <t xml:space="preserve">The Cooperation Council for the Arab States of the Gulf Draft Technical Regulation for "Red Hot Pepper Paste (Harissa)" (5 pages  in English  6 pages  in Arabic)   </t>
  </si>
  <si>
    <t>This draft technicalregulation appliesto harissa (red hot pepper paste) and intended for direct human consumption. Itdoes not apply to other traditionally-prepared types of harissa.</t>
  </si>
  <si>
    <t>Foodstuffs: Red hot pepper paste (Harissa) (ICS Code: 67.220.10)</t>
  </si>
  <si>
    <t>G/TBT/N/MYS/51</t>
  </si>
  <si>
    <t>Draft Amendment of Regulation 18  Food Regulations 1985: Matter Forbidden on Any Label (1 page  in English)</t>
  </si>
  <si>
    <t>The proposed amendment is intended to prohibit claim:i)&amp;nbsp that provide testimonial  endorsement or representative of opinion or preference. ii) with written  pictorial or other descriptive matter that include any false  ambiguous  misleading  deceptive statement/claim  word  brand  picture  or mark purporting to indicate the nature  stability  quantity  strength  purity  composition  weight  origin  age  effects  or proportion of the food or any ingredients thereof.</t>
  </si>
  <si>
    <t xml:space="preserve">All foods (ICS: 67)      </t>
  </si>
  <si>
    <t>G/TBT/N/MYS/50</t>
  </si>
  <si>
    <t>New Regulation 360D and Regulation 360E  Food Regulations 1985: Isotonic Electrolyte Drink and Isotonic Electrolyte Drink Base and Sixth Schedule of Food Regulations 1985 (2 pages  in English)</t>
  </si>
  <si>
    <t xml:space="preserve">New proposed regulations under the Food Regulations 1985 for "isotonic electrolyte drink" and "isotonic electrolyte drink base" as follows:Regulation 360D Isotonic Electrolyte Drink: The new proposed regulation prescribes the standard and labelling requirements for "Isotonic electrolyte drink".&amp;nbsp "Isotonic electrolyte drink" is a beverage that is formulated and represented as suitable for the rapid replacement of fluid  carbohydrates  electrolytes and minerals. It may contain carbon dioxide.Regulation 360E Isotonic Electrolyte Drink Base: The new proposed regulation prescribes the standard and labelling requirements for "Isotonic electrolyte drink base"."Isotonic electrolyte drink base" is the base form of "isotonic electrolyte drink" either in solid or liquid form. When diluted and made up in accordance with the directions stated on the label  "isotonic electrolyte drink base" will produce "isotonic electrolyte drink". </t>
  </si>
  <si>
    <t>G/TBT/N/MYS/49</t>
  </si>
  <si>
    <t>New Regulation 26B  Food Regulations 1985: Microbial Cultures for Food Fermentation (1 page  in English)</t>
  </si>
  <si>
    <t>The new proposed regulation prescribes the standard for microbial cultures used in food fermentation process such as tapai  tempe  soy sauce  kimchi and etc.</t>
  </si>
  <si>
    <t>G/TBT/N/MYS/47</t>
  </si>
  <si>
    <t>Draft Amendment of Regulation 26A and the Twelfth A Schedule of the Food Regulations 1985: Probiotic Cultures (2 pages  in English)</t>
  </si>
  <si>
    <t xml:space="preserve">i) Draft Amendment of Regulations 26A: Probiotic Cultures: The proposed draft amendment is intended to substitute the existing standards for bifido bacteria with a more general standard to allow more probiotic cultures to be added to food. ii) Draft Amendment of Twelfth A Schedule: Probiotic Cultures: The proposed draft amendment is intended to substitute the existing schedule of Permitted Bifido Bacteria which consists of only two species of bifidobacteria with more species of probiotic cultures according to their strain to allow more probiotic cultures to be added to food. </t>
  </si>
  <si>
    <t>G/TBT/N/MYS/46</t>
  </si>
  <si>
    <t>Draft Amendment of Regulation 388  Food Regulations 1985: Special Purpose Food (1 pages  in English)</t>
  </si>
  <si>
    <t>The proposed amendment is intended to prohibitwords that indicate grading  quality or superiority or any other words of similar meaning or implications or sound like  such as "Gold"  "A+"  "Plus"  "Premium"  "Platinum"  "Pro"  "Advance"  "Super"  "Complete"  "Balance"  "Unique" and "Protect" on any package of food under Regulation 389 to 391 including infant formula  followup formula  canned food for infant and young children and processed cereal based foods for infant and young children.</t>
  </si>
  <si>
    <t xml:space="preserve">Special purpose foods including infant formula  followup formula  canned food for infant and young children and processed cereal based foods for infant and young children (ICS: 67)      </t>
  </si>
  <si>
    <t>G/TBT/N/MYS/45</t>
  </si>
  <si>
    <t>Draft Amendment of Regulation 18E and the Table III of Fifth A Schedule  Food Regulations 1985: Nutrient Function Claim (1 pages  in English)</t>
  </si>
  <si>
    <t>i) Draft Amendment of Regulation 18E :The proposed draft amendment is to include two newly approved nutrient function claims i.e. nutrient function claims for ‘Beta palmitin’ and ‘Mixture containing 50%(weight over weight) Galactooligosaccharide (GOS) and 50% (weight over weight) Polydextrose (PDX) in Infant Formula and Follow-up Formula’ii) Draft Amendment of Table III of the Fifth A Schedule : The proposed draft amendment is to prescribe the minimum amount required and specific conditions for claim on ‘Beta palmitin’ and ‘Mixture containing 50% (weight over weight) Galactooligosaccharide (GOS) and 50% (weight over weight) Polydextrose (PDX) in Infant Formula and Follow-up Formula’.</t>
  </si>
  <si>
    <t>G/TBT/N/MYS/48</t>
  </si>
  <si>
    <t xml:space="preserve"> Draft Amendment of Regulation 27  Food Regulations 1985: Use of Harmful Packages Prohibited (1 page  in English)</t>
  </si>
  <si>
    <t xml:space="preserve">The draft amendment is to prescribe the labelling requirement for all packages or appliances that are intended to come into contact with food. </t>
  </si>
  <si>
    <t>Philippines</t>
  </si>
  <si>
    <t>G/TBT/N/PHL/183</t>
  </si>
  <si>
    <t>Draft Administrative Order – Revised Rules and Regulations Governing The Labeling of Prepackaged Food Products Further Amending Certain Provisions of Administrative Order No. 88-B s. 1984 or the “Rules and Regulations Governing the Labeling of Pre-packaged Food Products Distributed in the Philippines ” and for Other Purposes</t>
  </si>
  <si>
    <t>With the aim to provide coherence in the Food and Drug Administration’s regulatory system for food establishments and prepackaged food products  this Order is hereby issued amending for this purpose certain provisions of Administrative Order No. 88-B s. 1984 or the "Rules and Regulations Governing the Labeling of Prepackaged Food Products Distributed in the Philippines" and for other purposes.</t>
  </si>
  <si>
    <t>This Order covers the labeling of all prepackaged food products  including food supplements  whether locally manufactured or imported into the Philippines.</t>
  </si>
  <si>
    <t>G/TBT/N/PHL/182</t>
  </si>
  <si>
    <t>Draft Administrative Order – Rules and Regulations on the Licensing of Food Establishments and Registration of Processed Food  and Other Food Products  and for Other Purposes</t>
  </si>
  <si>
    <t>Rules and Regulations on the issuance of appropriate authorizations in the form of a permit  license and certificate of registration or compliance that would cover establishments  facilities engaged in packing  holding or producing food for consumption in accordance with the mandated issuances of regulatory agencies issuing such authorizations.</t>
  </si>
  <si>
    <t>This Administrative Order covers food establishments engaged in the manufacture and/or distribution  (i.e. import  export and/or wholesale) trade and/or repacking of processed food and food products.</t>
  </si>
  <si>
    <t>G/TBT/N/EU/227</t>
  </si>
  <si>
    <t>This draft Commission Regulation concerns the refusal of authorisation of three health claims made on foods and referring to children's development and health in accordance with Article 17(3) of Regulation (EC) No 1924/2006 of the European Parliament and of the Council of 20 December 2006 on nutrition and health claims made on foods.</t>
  </si>
  <si>
    <t>G/TBT/N/SAU/773</t>
  </si>
  <si>
    <t>The Kingdom of Saudi Arabia / The Cooperation Council for the Arab States of the Gulf Draft Technical Regulation for "Canned Citrus Fruits" (8 pages  in English  11 pages  in Arabic)</t>
  </si>
  <si>
    <t>This draft technical regulation applies to the requirements which should be available in canned citrus fruits  and it does not apply when intended for further processing.</t>
  </si>
  <si>
    <t>Foodstuffs: Canned Citrus Fruits (ICS Code: 67.080)</t>
  </si>
  <si>
    <t>G/TBT/N/SAU/772</t>
  </si>
  <si>
    <t>The Kingdom of Saudi Arabia / The Cooperation Council for the Arab States of the Gulf Draft Technical Regulation for "Tamarind (pulp)" (4 pages  in English  7 pages  in Arabic)</t>
  </si>
  <si>
    <t>This draft technical regulation applies to specific requirements of Tamarind "pulp" obtained of ripe fruits of tamarind plant.</t>
  </si>
  <si>
    <t>Foodstuffs: Tamarind (pulp) (ICS Code: 67.080)</t>
  </si>
  <si>
    <t>G/TBT/N/SAU/771</t>
  </si>
  <si>
    <t>The Kingdom of Saudi Arabia / The Cooperation Council for the Arab States of the Gulf Draft Technical Regulation for "Edible vegetable oils - Part 1" (16 pages  in English  17 pages  in Arabic)</t>
  </si>
  <si>
    <t>This draft technical regulation applies to edible vegetable oils  which is suitable for human consumption.</t>
  </si>
  <si>
    <t>Foodstuffs: Edible vegetable oils - Part 1 (ICS Code: 67.200)</t>
  </si>
  <si>
    <t>G/TBT/N/SAU/770</t>
  </si>
  <si>
    <t>The Kingdom of Saudi Arabia / The Cooperation Council for the Arab States of the Gulf Draft Technical Regulation for "Edible olive oil and olive pomace oil" (8 pages  in English  14 pages  in Arabic)</t>
  </si>
  <si>
    <t>This draft technical regulation applies to olive oil and olive pomace oils suitable for human consumption.</t>
  </si>
  <si>
    <t>G/TBT/N/SAU/769</t>
  </si>
  <si>
    <t>The Kingdom of Saudi Arabia / The Cooperation Council for the Arab States of the Gulf Draft Technical Regulation for "Frozen Fish Fillets" (5 pages  in English  6 pages  in Arabic)</t>
  </si>
  <si>
    <t>This draft technical regulation applies to quick frozen fish fillets offered for direct consumption without further processing. It does not apply to products indicated as intended for further processing or for other industrial purposes.</t>
  </si>
  <si>
    <t>Foodstuffs: Frozen Fish Fillets (ICS Code: 67.120.30)</t>
  </si>
  <si>
    <t>G/TBT/N/SAU/768</t>
  </si>
  <si>
    <t>The Kingdom of Saudi Arabia / The Cooperation Council for the Arab States of the Gulf Draft Technical Regulation for "Smoked Fish  Smoke-Flavored Fish and Smoke-Dried Fish" (8 pages  in English  10 pages  in Arabic)</t>
  </si>
  <si>
    <t>This draft technical regulation applies to smoked  smoke-flavored and smoke-dried fish prepared from fresh  chilled or frozen raw material.</t>
  </si>
  <si>
    <t>Foodstuffs: Smoked Fish  Smoke-Flavored Fish and Smoke-Dried Fish (ICS Code: 67.120.30)</t>
  </si>
  <si>
    <t>G/TBT/N/SAU/767</t>
  </si>
  <si>
    <t>The Kingdom of Saudi Arabia / The Cooperation Council for the Arab States of the Gulf Draft Technical Regulation for " Red Hot Pepper Paste (Harissa)" (5 pages  in English  6 pages  in Arabic)</t>
  </si>
  <si>
    <t>This draft technical regulation applies to harissa (red hot pepper paste) and intended for direct human consumption. It does not apply to other traditionally-prepared types of harissa.</t>
  </si>
  <si>
    <t>Foodstuffs: Red hot pepper paste (Harissa) (ICS Code: 67.040)</t>
  </si>
  <si>
    <t>G/TBT/N/SAU/766</t>
  </si>
  <si>
    <t>The Kingdom of Saudi Arabia / The Cooperation Council for the Arab States of the Gulf Draft Technical Regulation for "Fresh Fruit Juice (Unpasteurized)" (6 pages  in English  6 pages  in Arabic)</t>
  </si>
  <si>
    <t>This draft technical regulation applies to fresh fruit juice (unpasteurized)  which specifies the definitions of the product and the quality requirements  sampling  methods of testing  transportation  storage and labelling.</t>
  </si>
  <si>
    <t>Foodstuffs: Fresh Fruit Juice (Unpasteurized) (ICS Code: 67.080)</t>
  </si>
  <si>
    <t>G/TBT/N/SAU/765</t>
  </si>
  <si>
    <t>The Kingdom of Saudi Arabia / The Cooperation Council for the Arab States of the Gulf Draft Technical Regulation for " Pomegranate " (9 pages  in English  9 pages  in Arabic)</t>
  </si>
  <si>
    <t>This draft technical regulation applies to fruits of commercial varieties of pomegranates grown from Punica granatum L.  of the Punicaceae family  to be supplied fresh to the consumer after preparation and packaging.</t>
  </si>
  <si>
    <t>Foodstuffs: Pomegranate  (ICS Code: 67.080)</t>
  </si>
  <si>
    <t>G/TBT/N/TPKM/168</t>
  </si>
  <si>
    <t>Public Notice (food No. 1031301527) issued by the Food and Drug Administration  Ministry of Health and Welfare: ”Draft of labelling requirements for prepackaged food containing ingredients of genetically modified organisms”  ”Draft of labelling requirements for food additives containing ingredients of genetically modified organisms” and ”Draft of labelling requirements for unpackaged food containing ingredients of genetically modified organisms” (4 pages  in Chinese  English translation available).</t>
  </si>
  <si>
    <t>Based on Articles 22  24 and 25 of the Act Governing Food Safety and Sanitation  the FDA proposed to regulate the prepackaged food  food additives and unpackaged food containing ingredients of genetically modified organisms. The labelling of prepackaged food  food additives and unpackaged food containing ingredients of genetically modified organisms on the market shall be completed in the manner prescribed in this notice.</t>
  </si>
  <si>
    <t>Prepackaged food  food additives and unpackaged food containing ingredients of genetically modified organisms</t>
  </si>
  <si>
    <t>G/TBT/N/EU/225</t>
  </si>
  <si>
    <t>Draft Commission Regulation refusing to authorise certain health claims made on foods  other than those referring to the reduction of disease risk and to children's development and health (4 pages + Annex 2 pages  in English)</t>
  </si>
  <si>
    <t>G/TBT/N/OMN/174</t>
  </si>
  <si>
    <t>General Requirements for Halal Food (7 pages  in Arabic)</t>
  </si>
  <si>
    <t xml:space="preserve">This Omani/Gulf draft technical regulation concerns with General Requirements for Halal Food  which specifies the definitions of the product  and the general requirements for Halal food  which must be followed in each stage of the food chain for the products of halal foods  transportation  storage and labelling. Items related to requirements  packaging  transportation and storage and labelling (items 4  5  7 and 8) are compulsory. The remaining items are voluntary.&amp;nbsp </t>
  </si>
  <si>
    <t xml:space="preserve">General requirements for halal food </t>
  </si>
  <si>
    <t>G/TBT/N/OMN/170</t>
  </si>
  <si>
    <t>Foods for Special Dietary Uses Low-Starch Macaroni (4 pages  available in Arabic only)</t>
  </si>
  <si>
    <t>This Omani/Gulf draft technical regulation concerns foods for special dietary uses low-starch macaroni. Items related to general requirements  chemical requirements  metallic contaminants  microbiological limits  storage  packaging &amp;amp  labelling (items 4  5  6  7  8 and 9) are compulsory. The remaining items are voluntary.</t>
  </si>
  <si>
    <t>Foods for special dietary uses low-starch macaroni</t>
  </si>
  <si>
    <t>G/TBT/N/OMN/169</t>
  </si>
  <si>
    <t>Foods for Special Dietary Uses Low-Calorie Jam (4 pages  available in Arabic only)</t>
  </si>
  <si>
    <t>This Omani/Gulf draft technical regulation concerns with foods for special dietary uses low-calorie jam. Items related to general requirements  chemical requirements  metallic contaminants  microbiology limits  packaging &amp;amp &amp;nbsp  labelling (items 4  5  6  7 and 8) are compulsory. The remaining items are voluntary.</t>
  </si>
  <si>
    <t>Foods for special dietary uses low-calorie jam</t>
  </si>
  <si>
    <t>G/TBT/N/KWT/229</t>
  </si>
  <si>
    <t xml:space="preserve">The Cooperation Council for the Arab States of the Gulf - Draft Technical Regulation for "Canned Strawberries" (9 pages  in Arabic)  </t>
  </si>
  <si>
    <t xml:space="preserve">Foodstuffs: canned strawberries (ICS Code: 67.080)  </t>
  </si>
  <si>
    <t>G/TBT/N/KWT/228</t>
  </si>
  <si>
    <t>The Cooperation Council for the Arab States of the Gulf - Draft Technical Regulation for "Fresh Tomatoes" (8 pages  in Arabic)</t>
  </si>
  <si>
    <t>This draft technical regulation concerns requirements in fresh tomatoes (class: Lycopersicon esculentum  family: Solanaceae).</t>
  </si>
  <si>
    <t>Foodstuffs: fresh tomatoes (ICS Code: 67.080)</t>
  </si>
  <si>
    <t>G/TBT/N/NZL/69</t>
  </si>
  <si>
    <t>2nd call for submissions for Proposal P1025 Code Revision (921 pages  in English)</t>
  </si>
  <si>
    <t>The Proposal seeks to modernise how the Australia New Zealand Food Standards Code (the Code) is presented to create an instrument that better meets the needs of a very broad range of stakeholders in industry  commerce and enforcement and improves the Code’s efficacy. For example:• It more clearly presents requirements that impose an obligation in relation to the conduct of a food business or the sale of food  or relating to the composition of food or labelling • Other changes modify or add definitions and alter the structure of the Code to improve navigation or to address problems of expression. • Compositional requirements that combined definitional and requirement elements have been revised to separate the elements• There is a greater reliance on definitions already present in the food acts of Australia’s states and territories.The Proposal will not significantly alter the effect of current provisions that impose requirements or obligations.</t>
  </si>
  <si>
    <t>Imported (as well as domestically produced) foods sold in New Zealand</t>
  </si>
  <si>
    <t>G/TBT/N/SAU/763</t>
  </si>
  <si>
    <t>The Kingdom of Saudi Arabia / The Cooperation Council for the Arab States of the Gulf - Draft Technical Regulation for "Fresh Tomatoes" (8 pages  in Arabic)</t>
  </si>
  <si>
    <t>G/TBT/N/SAU/762</t>
  </si>
  <si>
    <t>The Kingdom of Saudi Arabia / The Cooperation Council for the Arab States of the Gulf - Draft Technical Regulation for "Canned Strawberries" (9 pages  in Arabic)</t>
  </si>
  <si>
    <t>G/TBT/N/SAU/761</t>
  </si>
  <si>
    <t>The Kingdom of Saudi Arabia / The Cooperation Council for the Arab States of the Gulf Draft Technical Regulation for "Milk Products With Probiotics " (7 pages  in English  7 pages  in Arabic)</t>
  </si>
  <si>
    <t>This draft technical regulation applies to dairy products with added probiotics.</t>
  </si>
  <si>
    <t>Foodstuffs: Milk products with probiotics (ICS Code: 67.100)</t>
  </si>
  <si>
    <t>G/TBT/N/BRA/592</t>
  </si>
  <si>
    <t>Draft Resolution nº 29  June 5th 2014  that adopts provisions on the mandatory declaration in the label of packaged food  of recognized sources of food allergies or food intolerances in sensitive persons (6 pages  in Portuguese)</t>
  </si>
  <si>
    <t xml:space="preserve">Draft resolution that adopts provisions on the mandatory declaration in the label of packaged food  of recognized sources of food allergies or food intolerances in sensitive persons.This resolution applies to food  ingredients  food additives  technological coadjuvants and raw materials which are packaged in the absence of consumers  including those intended to be used exclusively for industrial processing and at food establishments.This resolution is complementary to the Resolution number 259  of September 20 2002  which approves the technical regulation for labelling packaged food  and to the Law 10.674  of May 16 2003  which establishes mandatory providing information on the presence of gluten in marketed food products.The following are recognized sources of food allergies or food intolerances in sensitive persons:I. Cereals containing gluten  namely wheat  rye  barley  oats and their hybridised strains II. Crustaceans  III. Eggs IV. Fish V. Peanut VI. Soy VII. Milk VIII. Almond (Prunus dulcis) IX. Hazelnut (Corylus spp.) X. Cashew nut (Anacardium occidentale) XI. Brazil nuts (Bertholletia excelsa) XII. Macadamia (Macadamia spp.) XIII. Nut (Juglans spp.) XIV. Pecan (Carya illinoensis) XV. Pistachio (Pistacia vera L.)  XVI. Sulphites (sulphur dioxide and its salts) in concentration equal to or greater than 10 (ten) parts per million (ppm)  expressed in sulphur dioxide.Alterations in the list provided here within can be made upon updates on Codex Alimentarius guidelines or scientific evidences showing the cause-effect of the food consumption and adverse events  its epidemiological magnitude and its severity. The food  ingredients  additives  technological coadjuvants and raw materials which are packaged in absence of consumers  including those intended to be used for manufacturing and for food establishments must contain the declaration: Contains Gluten or Gluten Free  as appropriate. Food that are  derives from or have been intentionally added of ingredients  food additives  technological coadjuvants or raw materiasl from recognized sources of food allergies or food intolerances described in sections II to XVI of article 4  in any quantity  must bring the declaration: Allergic: Contains (source names)  or Allergic: Contains derivatives of (source names)  as appropriate.In cases that food  ingredients  food additives  technological coadjuvants or raw materials have risks of causing incidental contamination from recognized sources of food allergies or food intolerances described in sections II to XV of article 4   must inform in its label the declaration: Allergic: May Contain (source names). Declarations required at articles 6  7 and 8 of this Resolution must be grouped near the ingredients list&amp;nbsp  on the label  in a white background frame and in black characters of the same type  complying with height requirements established in the annex of this Resolution.This Resolution revokes Resolution RDC number 40 of February 8 2002 which approves the technical regulation on labelling of packed food and beverage that contain gluten. </t>
  </si>
  <si>
    <t>Recognized sources of food allergies or food intolerances in sensitive persons.</t>
  </si>
  <si>
    <t>Kenya</t>
  </si>
  <si>
    <t>G/TBT/N/KEN/414</t>
  </si>
  <si>
    <t>KS 2541: 2014  Crude and semi refined crude palm oil products – specification   (8 pages  in English).</t>
  </si>
  <si>
    <t>KS 2541:2014  Crude and semi refined crude palm oil products – specification</t>
  </si>
  <si>
    <t>Edible oil</t>
  </si>
  <si>
    <t xml:space="preserve"> ICS codes: 67.220.20  HS codes: 151110 </t>
  </si>
  <si>
    <t>G/TBT/N/KEN/413</t>
  </si>
  <si>
    <t>KS 1089: 2014   Reduced Salt - Content foods — Specification (6 pages  in English)</t>
  </si>
  <si>
    <t>Provides salt specification for products that are presented directly or indirectly or by implication as containing reduced salt content for the general population.</t>
  </si>
  <si>
    <t>Table salt</t>
  </si>
  <si>
    <t xml:space="preserve"> ICS codes: 67.220.20  HS codes: 2501 </t>
  </si>
  <si>
    <t>G/TBT/N/ZAF/66/Rev.1</t>
  </si>
  <si>
    <t>Regulations relating to the labelling and advertising of foods: amendment (112 pages  in English).</t>
  </si>
  <si>
    <t>The proposed regulation makes provision for the labelling and advertising of pre-packaged foodstuffs under the control of the Department of Health  in terms of the Foodstuffs  Cosmetics and Disinfectants Act  1972 (Act 54 of 1972).</t>
  </si>
  <si>
    <t>PREPARATIONS OF MEAT  OF FISH OR OF CRUSTACEANS  MOLLUSCS OR OTHER AQUATIC INVERTEBRATES (HS 16)  SUGARS AND SUGAR CONFECTIONERY (HS 17)  COCOA AND COCOA PREPARATIONS (HS 18)  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 (HS 1901)  Pasta  whether or not cooked or stuffed (with meat or other substances) or otherwise prepared  such as spaghetti  macaroni  noodles  lasagne  gnocchi  ravioli  cannelloni  couscous  whether or not prepared. (HS 1902)  Tapioca and substitutes therefor prepared from starch  in the form of flakes  grains  pearls  siftings or in similar forms. (HS 1903)  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(HS 1904)  Bread  pastry  cakes  biscuits and other bakers' wares  whether or not containing cocoa  communion wafers  empty cachets of a kind suitable for pharmaceutical use  sealing wafers  rice paper and similar products. (HS 1905)  Vegetables  fruit  nuts and other edible parts of plants  prepared or preserved by vinegar or acetic acid. (HS 2001)  Tomatoes prepared or preserved otherwise than by vinegar or acetic acid. (HS 2002)  Mushrooms and truffles  prepared or preserved otherwise than by vinegar or acetic acid. (HS 2003)  Other vegetables prepared or preserved otherwise than by vinegar or acetic acid  frozen  other than products of heading 20.06. (HS 2004)  Other vegetables prepared or preserved otherwise   FOOD TECHNOLOGY (ICS 67)  Food products in general (ICS 67.040)</t>
  </si>
  <si>
    <t xml:space="preserve"> ICS codes: 67  67.040  HS codes: 18  1903  2003  17  16  1905  2002  1904  2001  1901  2004  1902 </t>
  </si>
  <si>
    <t>G/TBT/N/ISR/804</t>
  </si>
  <si>
    <t>SI 929: White mineral oil for use in contact with food (9 pages  in English  6 pages  in Hebrew).</t>
  </si>
  <si>
    <t>Revision of the Mandatory Standard SI 929 dealing with lubrication of machines coming in contact with food. This draft standard revision is based on the international specifications provided by FAO/WHO for mineral oils and adopted by the Codex Alimentarius entitled:FAO/WHO-FAO JECFA - Monograph 1 (2006)&amp;nbsp MINERAL OIL - HIGH VISCOSITYFAO/WHO-FAO JECFA - Monograph 13 (2012)&amp;nbsp MINERAL OIL - MEDIUM VISCOSITYThe major differences between the old version and this new revised draft standard are as follows:Reduces the range of allowed viscosity Deletes the paragraph dealing with standard compatibility Deletes&amp;nbsp the paragraph dealing with sampling for oil characteristics test and instead requires to sample according to the American Standard ASTM D4057-06 Changes the requirements and the test methods.Both the old standard and the new revised standard will apply for 1 year from date of entry into force. During this time product may be tested either according to the old or the revised standard.</t>
  </si>
  <si>
    <t>White mineral oil for use in contact with food</t>
  </si>
  <si>
    <t xml:space="preserve"> ICS codes: 75.100  HS codes: 271119  3811 </t>
  </si>
  <si>
    <t>G/TBT/N/KOR/495</t>
  </si>
  <si>
    <t>Enforcement ordinance and enforcement regulations on the Act on Promotion of Environment-friendly Agriculture and Fisheries  and Management and Support for Organic Foods (34 pages  in  Korean)</t>
  </si>
  <si>
    <t xml:space="preserve">The main amended contents in this document are as follows:Enforcement Ordinance-&amp;nbsp  Acceptance and approval of notification for imported organic foods  conformity assessment of the labelling standards are delegated to the Minister of the Ministry of Food and Drug Safety (MFDS). Acceptance of notification for imported nonedible processed organic foods  and conformity assessment of the labelling standards are delegated to the Head of the National Agricultural Products Quality Management Service (NAQS) ( Article 5.2.2  Article 5.3.6.2).-&amp;nbsp The grant of eligibility  suspension and revocation for accreditors  and execution of audits are delegated to the Head of NAQS and the Heads of the National Fishery Products Quality Management Service (Article 5.3 and 5.4).Enforcement Regulations- Established the import notification procedure for organic foods and nonedible processed foods (Article 18.2.1).- Established the assessment procedures for organic foods notified for import (Article 18.2.2  18.2.3).- Established the eligibility standards for accreditors  procedures for the grant of eligibility and standards for administrative measures (Article 27.2). </t>
  </si>
  <si>
    <t>G/TBT/N/MYS/43</t>
  </si>
  <si>
    <t>Draft Amendment of Regulation 18E Nutrient Function Claim  Draft Amendment of Regulation 393 and Draft Amendment of Fifth A Schedule of the Food Regulations 1985  (2 pages  in English)</t>
  </si>
  <si>
    <t>The draft amendment is to reflect the new approved nutrient function claims for food component namely Calcium 3-hydroxy-3-methyl butyrate monohydrate (CaHMB) and D-ribose.Specific conditions for the approved function claims are required:Minimum amount of the relevant "food component"Additional labelling requirementsThe claims are also restricted to formula dietary foods</t>
  </si>
  <si>
    <t>Formula dietary food (ICS: 67)</t>
  </si>
  <si>
    <t>G/TBT/N/MYS/42</t>
  </si>
  <si>
    <t>Food Import Regulations 2014 (1 page  in English)</t>
  </si>
  <si>
    <t>Draft Food Import Regulations 2014 applicable for importation of food into Malaysia. The draft Regulations stipulates that importers shall bear all the laboratory analysis cost for the samples obtained from any subsequent food consignment to the food consignment which contravenes provisions under the Food Act 1983 and its related regulations namely the Food Regulations 1985  Food Hygiene Regulations 2009 and Food Irradiation Regulations 2011.</t>
  </si>
  <si>
    <t xml:space="preserve">All food (ICS: 67)   </t>
  </si>
  <si>
    <t>G/TBT/N/PER/59</t>
  </si>
  <si>
    <t>.01 Extracto de malta  preparaciones alimenticias de harina  grañones  sémola  almidón  fécula o extracto de malta  que no contengan cacao o con un contenido de cacao inferior al 40% en peso calculado sobre una base totalmente desgrasada  no expresadas ni comprendidas en otra parte  preparaciones alimenticias de productos de las partidas 04.01 a 04.04 que no contengan cacao o con un contenido de cacao inferior al 5% en peso calculado sobre una base totalmente desgrasada  no expresadas ni comprendidas en otra parte.  19.04           Productos a base de cereales obtenidos por inflado o tostado (por ejemplo: hojuelas o copos de maíz)  cereales (excepto el maíz) en grano o en forma de copos u otro grano trabajado (excepto la harina  grañones y sémola)  precocidos o preparados de otro modo  no expresados ni comprendidos en otra parte.  19.05 Productos de panadería  pastelería o galletería  incluso con adición de cacao  hostias  sellos vacíos de los tipos utilizados para medicamentos  obleas para sellar  pastas secas de harina  almidón o fécula  en hojas  y productos similares.  2006.00.00.00 Hortalizas  frutas u otros frutos o sus cortezas y demás partes de plantas  confitados con azúcar (almibarados  glaseados o escarchados).  20.07 Confituras  jaleas y mermeladas  purés y pastas de frutas u otros frutos  obtenidos por cocción  incluso con adición de azúcar u otro edulcorante.  20.08 Frutas u otros frutos y demás partes comestibles de plantas  preparados o conservados de otro modo  incluso con adición de azúcar u otro edulcorante o alcohol  no expresados ni comprendidos en otra parte.  20.09 Jugos de frutas u otros frutos (incluido el mosto de uva) o de hortalizas  sin fermentar y sin adición de alcohol  incluso con adición de azúcar u otro edulcorante.  21.03 Preparaciones para salsas y salsas preparadas  condimentos y sazonadores  compuestos  harina de mostaza y mostaza preparada.  21.04 Preparaciones para sopas  potajes o caldos  sopas  potajes o caldos  prepa-rados  preparaciones alimenticias compuestas homogeneizadas.  2105.00 Helados  incluso con cacao.  21.06 Preparaciones alimenticias no expresadas ni comprendidas en otra parte.  22.02 Agua  incluidas el agua mineral y la gaseada  con adición de azúcar u otro edulcorante o aromatizada  y demás bebidas no alcohólicas  excepto los jugos de frutas u otros frutos o de hortalizas de la partida 20.09.</t>
  </si>
  <si>
    <t xml:space="preserve"> HS codes: 0404  0405  1604  2105  2008  0307  1901  1704  1602  2006  1806  0811  0406  0210  0305  1905  2106  0306  0209  1517  0403  1904  2103  2104  2202  2009  1601  1516  1507  2007  0402 </t>
  </si>
  <si>
    <t>G/TBT/N/TPKM/163</t>
  </si>
  <si>
    <t>Public Notice (food No. 1031300988) issued by the Food and Drug Administration  Ministry of Health and Welfare: "Draft of the Regulations on Nutrition Claim for Prepackaged Food Products" (11 pages in Chinese  English translation available)</t>
  </si>
  <si>
    <t>Based on Article 22 of the Act Governing Food Safety and Sanitation  the FDA proposed to regulate the nutrition claim of prepackaged food products. The regulations are established to define the descriptive wording used to show the amount of nutrients in prepackaged food products.</t>
  </si>
  <si>
    <t>Prepackaged Food Products</t>
  </si>
  <si>
    <t>G/TBT/N/KOR/487</t>
  </si>
  <si>
    <t>Proposed amendments to the labelling standards for Health Functional Foods (9 pages  in Korean).</t>
  </si>
  <si>
    <t>This notification specifies the mandatory labelling requirements for Health Functional Foods 1.&amp;nbsp &amp;nbsp &amp;nbsp  When subdividing and repackaging Health Functional Foods  the final repackaged label must include the contents of the original label  as well as the name and address of the manufacturer of the repackaged product.2.&amp;nbsp &amp;nbsp &amp;nbsp  The label may include barcodes and electronic tags other than Braille (dots) to provide information of Health Functional Foods for visually impaired persons.3.&amp;nbsp &amp;nbsp &amp;nbsp  The certification mark for Health Functional Foods is changed due to the integration of certification marks at MFDS (Ministry of Food and Drug Safety).4.&amp;nbsp &amp;nbsp &amp;nbsp  When labelling the ratio of Nutrient Reference Values(NRVs)  values of decimal points must be rounded off to the nearest whole number.As the labelling of organic processed food isnowintegrated and managed bytheAct on the Fostering of Environment-Friendly Agriculture and Fisheries and the Management¡¤Support of Organic Foods(applied byMinistry of Agriculture Food and Rural Affairs(MAFRA) since Jan1st  2014)  the proposed amendments delete sectionsrelated tothelabelling of organic processed foods.</t>
  </si>
  <si>
    <t>G/TBT/N/EGY/48</t>
  </si>
  <si>
    <t>Ministerial Decree No. 266/2011 mandating Egyptian standards related to food  products (2 pages  in Arabic)</t>
  </si>
  <si>
    <t xml:space="preserve">The decree mandates that the producers and importers of food products must comply with the following Egyptian standards :- ES No 7114/2010 “ Colours for use in foodstuffs “(Adopted) (Directive no 94/36/EC) - ES No 7115/2010 “Sweeteners for use in foodstuffs “(Adopted) (Directive no 94/35/EC) - ES No 7116/2010 “Food additives other than colours and sweetener “ (Adopted) (Directive no 95/2/EC ) - ES No7153/2010 “Maximum residue limits of veterinary medical products in foodstuffs of animal origin “(Adopted) Regulation (EEC) No 2377/1990).- ES No 7136/2010 “Maximum levels for certain contaminants in foodstuff” (Adopted) Regulation (EC) No 1881/2006) </t>
  </si>
  <si>
    <t>Denmark</t>
  </si>
  <si>
    <t>G/TBT/N/DNK/95</t>
  </si>
  <si>
    <t>Draft order on the addition of nutrients to foodstuffs. (17 pages  danish)</t>
  </si>
  <si>
    <t>The national order proposes the procedure for &amp;nbsp &amp;nbsp &amp;nbsp &amp;nbsp  safe marketing in Denmark of foodstuffs to which vitamins and minerals &amp;nbsp &amp;nbsp &amp;nbsp &amp;nbsp  have been added  food supplements and other foodstuffs for particular &amp;nbsp &amp;nbsp &amp;nbsp &amp;nbsp  nutritional uses covered by specific EU directives are not regulated by &amp;nbsp &amp;nbsp &amp;nbsp &amp;nbsp  the order. The additions in Annex 1 are generally allowed. The maximum amounts of vitamins and minerals in the Annex are the total amount present in the product. The Danish Veterinary and Food Administration have accepted the amounts in the Annex on the basis of safety assessments by The National Food Institute.When using one of the generally allowed additions in the Annex  the company responsible for the first placing of the product on the Danish market is to notify the DVFA by providing a model of the label used for the product. The DVFA&amp;nbsp   is this way able to monitor the market for enriched foodstuffs in accordance with article 15 in regulation (EC) No 1925/2006.If a company wants to use an addition not in the Annex or additions in higher amounts the company must send a notification to the DVFA with information sufficient for a safety assessment of the addition. The company can use the addition 6 months after the notification to DVFA. The DVFA will however confirm the addition within the period of 6 months. The DVFA will immediately update the Annex with new generally accepted additions. If the DVFA find the notified addition not safe  it cannot be used. Regulation (EC) No 764/2008 on mutual recognition will apply. Decisions prohibiting an addition can be brought before The Food and Veterinary Complaints Board. Decisions of the Complaint Board can be brought before the Danish courts according to article 63 in the Danish Constitution.The Danish order is similar to the Danish order on the addition of certain other substances than vitamins and minerals to foodstuffs. The Commission expressed a positive position on this on May 6th 2011 (Notification 2010/0793/DK  originally 2010/0400/DK).</t>
  </si>
  <si>
    <t>The Addition of vitamins and minerals to foodstuffs.</t>
  </si>
  <si>
    <t>G/TBT/N/KWT/222</t>
  </si>
  <si>
    <t xml:space="preserve">General requirements for pre-packaged foods for special dietary use (4 pages in Arabic and  English).  </t>
  </si>
  <si>
    <t>This draft technical regulation is concerned with the General requirements for pre-packaged foods for special dietary use .It includes foods for infants and children. It does not apply to foods packaged in pharmaceutical shape.</t>
  </si>
  <si>
    <t>General requirements for pre-packaged foods for special dietary use ICS: 67.060</t>
  </si>
  <si>
    <t>G/TBT/N/KWT/219</t>
  </si>
  <si>
    <t xml:space="preserve">Non - alcoholic carbonated Beverages  (9 pages in Arabic  9 pages in English).    </t>
  </si>
  <si>
    <t>This Kuwaiti /Gulf draft technical regulation concerns non-alcoholic carbonated beverages. Items related to requirements  packaging  transportation &amp;amp  storage  and labelling (items 4  7 and 8) are compulsory. The remaining items are voluntary.</t>
  </si>
  <si>
    <t>Foodstuffs: Non- alcoholic carbonated Beverages.</t>
  </si>
  <si>
    <t>G/TBT/N/SAU/739</t>
  </si>
  <si>
    <t>The Kingdom of Saudi Arabia / THE COOPERATION COUNCIL FOR THE ARAB STATES OF THE GULF Draft Technical Regulation for " Unbottled drinking water ".  Language: Arabic and English  Number of pages:  (14 and 10).</t>
  </si>
  <si>
    <t>This draft technical regulation applies to Unbottled drinking water suitable for human consumption.</t>
  </si>
  <si>
    <t>Foodstuffs: Unbottled drinking water:(ICS Code: 67.160.20).</t>
  </si>
  <si>
    <t>G/TBT/N/SAU/738</t>
  </si>
  <si>
    <t>The Kingdom of Saudi Arabia / THE COOPERATION COUNCIL FOR THE ARAB STATES OF THE GULF Draft Technical Regulation for " Puffed  Grain  ".  Language: Arabic Number of pages:  (12).</t>
  </si>
  <si>
    <t>This draft technical regulation applies to Puffed&amp;nbsp  Grain suitable for human consumption.</t>
  </si>
  <si>
    <t>Foodstuffs: Puffed  Grain  (ICS: 67.060).</t>
  </si>
  <si>
    <t>G/TBT/N/RUS/36</t>
  </si>
  <si>
    <t xml:space="preserve">Amendments to the Customs Union Technical Regulation «On safety of food products» (CU TR 021/2011) (107 pages  in Russian)  </t>
  </si>
  <si>
    <t xml:space="preserve">Draft amendments to the Customs Union Technical Regulation “On safety of food products”  prepared to amend the technical regulation considering proposals from members of the Customs Union and the Single Economic Space within the period of public discussion of draft amendments to the technical regulation finished on&amp;nbsp  July 12  2013  as well as for elimination of contradictions in the requirements established by the technical regulation and Common sanitary and epidemiological and hygienic requirements for products subject to sanitary and epidemiological surveillance (control)  adopted by the Decision of the Customs Union Commission ¹ 299 on 28 May 2010. </t>
  </si>
  <si>
    <t>Ecuador</t>
  </si>
  <si>
    <t>G/TBT/N/ECU/242</t>
  </si>
  <si>
    <t>2309.90.10  2309.10.90  2309.90.30  2309.90.90</t>
  </si>
  <si>
    <t xml:space="preserve"> HS codes: 230990  230910 </t>
  </si>
  <si>
    <t>G/TBT/N/ECU/241</t>
  </si>
  <si>
    <t>2309.10.10  2309.10.90  2309.90.20  2309.90.90</t>
  </si>
  <si>
    <t xml:space="preserve"> HS codes: 230910  230990 </t>
  </si>
  <si>
    <t>G/TBT/N/ECU/240</t>
  </si>
  <si>
    <t>8509.40.10  8509.40.90  8509.80.90</t>
  </si>
  <si>
    <t xml:space="preserve"> HS codes: 850940  850980 </t>
  </si>
  <si>
    <t>G/TBT/N/SGP/21</t>
  </si>
  <si>
    <t xml:space="preserve">Energy Conservation (Energy Labelling and Minimum Performance Standards) Regulations 2013  (in English).  This document is available online at http://statutes.agc.gov.sg/  </t>
  </si>
  <si>
    <t>All air-conditioners  refrigerators and clothes dryers under the product scope in Section 4 above must be registered  labelled with Energy Labels to provide information on their levels of energy efficiency (EE) and meet prescribed minimum energy efficiency standards if they are to be supplied in Singapore.From 1 September 2014  all registrable air-conditioners  refrigerators and clothes dryers must be labelled with new Energy Labelsthat show rescaled energy ratings and estimated annual energy cost information so that consumers can better differentiate the more energy efficient products and consider the life-cycle ownership cost in their purchase decisions.</t>
  </si>
  <si>
    <t xml:space="preserve">HS: 8415 10xx: Single-phase non-ducted room air-conditioner namely an encased assembly or assemblies of one or more evaporators  compressors and condensers  designed to be used together as a permanently-installed piece of equipment to provide conditioned air to any enclosed space.  It includes a prime source of refrigeration for cooling and dehumidification and may include other means for dehumidifying  circulating and cleaning the air in the enclosed space.  It includes one or more evaporators  compressors and condensers.  Such equipment may be provided in more than one assembly  the separate assemblies of which are intended to be used together.  Single-phase non-ducted air-conditioner having a total cooling capacity of:  (i) 8.8kW or lower  in the case of casement or window type air-conditioner1   (ii) 17.6kW or lower  in the case of split type air-conditioner2 employing technologies  that control the output of the compressor by start-stop operation  or  (iii) 17.6kW or lower  in the case of split type air-conditioner2 employing technologies  that vary the output of the compressor  by means other than start-stop operation.  1Casement or window type air-conditioner refers to an assembly of components of a refrigeration system fixed on a common mounting to form a single  unit.  2Split type air-conditioner refers to an assembly of components of a refrigeration system fixed on 2 or more mountings to form a matched functional unit.  HS: 8418 1010  8418 2100: Single-phase refrigerator namely an assembly consisting of a thermally insulated cabinet for the storage and preservation of foodstuff above 0°C (32ºF) and a refrigerating unit operating on the vapour compression principle and arranged to extract heat from within the cabinet  whether or not with one or more freezer compartment with an adjusted volume of up to 900 litres.  The adjusted volume of the single-phase refrigerator  means the sum of the adjusted volumes of the compartments or sections of the refrigerator  where the adjusted volume of a compartment or section is the product of the rated volume of that compartment or section and the corresponding volume correction factor (K) indicated below:  - Fresh Food Compartment/Section Type: K = 1.00   - Four-star Freezer Compartment/Section Type: K = 1.79   - Three-star Freezer Compartment/Section Type: K = 1.79   - Two-star Freezer Compartment/Section Type: K = 1.57   - One-star Freezer Compartment/Section Type: K = 1.36   - Chill Compartment/Section Type: K = 1.13   - Cellar Compartment/Section Type: K = 0.75.  The compartment/section types are defined in accordance with Section 3.3 of the standard ISO 15502:2005 of the International Organization for Standardization.  HS 8451 10xx  HS 8451 21xx: Single-phase clothes dryer namely an assembly consisting of a rotating drum in which textile material is dried by tumbling  and a heating device which electrically heats the air used for drying the textile material in the rotating drum.  Single-phase clothes dryer having a rated capacity of up to 10 kilograms.   </t>
  </si>
  <si>
    <t xml:space="preserve"> HS codes: 841821  845121  845110  841810 </t>
  </si>
  <si>
    <t>G/TBT/N/TPKM/160</t>
  </si>
  <si>
    <t>Draft of Regulations on Prepackaged Food Products Exempted from the Nutrition Labeling (1 page in Chinese  English translation available)</t>
  </si>
  <si>
    <t>Based on Article 23 of the Act Governing Food Safety and Sanitation  the FDA proposed to regulate the labeling of prepackaged food products. Nutrition labeling is not required for some category of prepackaged food products without nutrition claims. If a nutrition labeling will be used in the category of products  it should behandled in accordance with the provisions of Article 22 of the Act Governing Food Safety and Sanitation.</t>
  </si>
  <si>
    <t>Ukraine</t>
  </si>
  <si>
    <t>G/TBT/N/UKR/97</t>
  </si>
  <si>
    <t>Draft Resolution "On Approval of the Technical Regulation on ecological labelling" (17 pages  in Ukrainian).</t>
  </si>
  <si>
    <t xml:space="preserve">The main purpose of the draft Resolution "On Approval of the Technical Regulation on ecological labelling" is an establishing and enforcement of ecological labeling and introducing accurate  transparent and accessible system to inform consumers about the environmental aspects and improved environmental performance of products on the market of Ukraine. The Technical Regulation establishes the rules on ecological labelling with consideration of the requirements of Regulation (EC) No&amp;nbsp 66/2010 of the European Parliament and of the Council of 25&amp;nbsp November 2009 On the EU Ecolabel. </t>
  </si>
  <si>
    <t xml:space="preserve">food products  </t>
  </si>
  <si>
    <t>G/TBT/N/KWT/218</t>
  </si>
  <si>
    <t>Soft Candy (14 pages in Arabic  10 pages in English).</t>
  </si>
  <si>
    <t>This Kuwaiti /Gulf draft technical  regulation concerns  the following types of soft candy: toffee  turkish delight  nougats  fondant  marshmallow  fudge  fruit pastes which  has not been issued by an independent specification (excluding chewing gum  chocolate types and western and oriental sweets).  Items related to requirements  packaging transportation &amp;amp  storage and  labelling (items 4  7 and 8) are compulsory. The remaining items are voluntary.</t>
  </si>
  <si>
    <t>Foodstuffs: Soft Candy</t>
  </si>
  <si>
    <t>G/TBT/N/KWT/215</t>
  </si>
  <si>
    <t>Chicken Eggs (15 pages in Arabic  14 pages in English)</t>
  </si>
  <si>
    <t>This Kuwaiti /Gulf draft technical regulation concerns&amp;nbsp the requirements and specification of edible chicken eggs&amp;nbsp  in various types: whole liquid  frozen  liquid  frozen  dried  and frozen - dried. Items related to requirements  packaging  transportation and storage and labelling (items 4  5 and 6) are compulsory. The remaining items are voluntary.</t>
  </si>
  <si>
    <t>Foodstuffs: Chicken Eggs</t>
  </si>
  <si>
    <t>G/TBT/N/KWT/214</t>
  </si>
  <si>
    <t>Atta Wheat Flour (8 pages in Arabic and 8 pages in English).</t>
  </si>
  <si>
    <t>This Kuwaiti /Gulf draft technical regulation concerns with all types of atta wheat flour for direct human consumption prepared from different varieties of wheat types. Items related to requirements  packaging  transportation and storage and labelling (items 5  8 and 9) are compulsory. The remaining items are voluntary.</t>
  </si>
  <si>
    <t>Foodstuffs: Atta Wheat Flour</t>
  </si>
  <si>
    <t>G/TBT/N/ISR/791</t>
  </si>
  <si>
    <t xml:space="preserve">Public Health Regulations (Food) (Food Additives) (Amendment) 5774-2014 (5 pages  in Hebrew) </t>
  </si>
  <si>
    <t>Draft amendment to Israel's Ministry of  Health regulations titled "Public  Health Regulations (Food) (Food Additives) (Amendment) 5774-2014".  The major changes introduced in this amendment are as follows:1.&amp;nbsp &amp;nbsp &amp;nbsp   Amends the definitions in  regulation 1  including Processing Aid  - any substance or material  not including apparatus or utensils  and not  consumed as a food ingredient by itself  intentionally used in the processing  of raw materials  foods or its ingredients  to fulfil a certain technological  purpose during treatment or processing and which may result in the unintentional  but unavoidable presence of residues or derivatives in the final product. This  new definition allows the use of processing aids that appear in the list of approved  food additives.2.&amp;nbsp &amp;nbsp &amp;nbsp   Adds to regulation 3 a new  paragraph  (b)  dealing with Carry-Over   an additive that may be present in a food as a result of being carried-over  during the food production. The use of carry-over is prohibited unless it is  acceptable for use in the raw materials or other ingredients of the final  product and its amount does not exceed the maximum use level. This does not  apply to infant formulae and follow-up formulae and formulae for special  medical purposes for infants.3.&amp;nbsp &amp;nbsp &amp;nbsp   Adds a new regulation  6a   requiring that food containing sweetener shall bear the following warnings in  Hebrew:1)&amp;nbsp &amp;nbsp &amp;nbsp   For pre-packaged food with polyols:  "excessive consumption may induce laxative effects"  2)&amp;nbsp &amp;nbsp &amp;nbsp   For pre-packaged food with aspartame/aspartame-acesulfame  salt: "contains a source of phenylalanine". In the case of table-top  sweetener to add also "not suitable for baking or cooking" For drinks containing aspartame and/or  aspartame-acesulfame salt  the following warning should be added: "store  in a cool and shaded place".</t>
  </si>
  <si>
    <t>Food additives (ICS 67.220.20)</t>
  </si>
  <si>
    <t>G/TBT/N/KWT/213</t>
  </si>
  <si>
    <t>The Kuwaiti Draft Technical Regulation for "Bottled drinking water"  (19 pages  in Arabic and 13 pages  in English).</t>
  </si>
  <si>
    <t>This  draft technical regulation applies to bottled drinking  water fit for human consumption  and not include natural mineral water.</t>
  </si>
  <si>
    <t xml:space="preserve">Foodstuffs: Bottled drinking water: (ICS Code: 67.160) </t>
  </si>
  <si>
    <t>G/TBT/N/ISR/771</t>
  </si>
  <si>
    <t>Uniform contents of prepackaged food: baked products (3 pages  in Hebrew).</t>
  </si>
  <si>
    <t>The existing Mandatory Standard  SI 1118 part 13  dealing with the uniform contents of prepackaged baked food products  shall be declared voluntary.</t>
  </si>
  <si>
    <t>Prepackaged baked food products (ICS 67.230.00).</t>
  </si>
  <si>
    <t>G/TBT/N/ISR/768</t>
  </si>
  <si>
    <t>Uniform contents of prepackaged food: dry food products - crystalline products (5 pages  in Hebrew).</t>
  </si>
  <si>
    <t>The existing Mandatory Standard  SI 1118 part 10  dealing with the uniform contents of prepackaged crystalline dry food products  shall be declared voluntary.</t>
  </si>
  <si>
    <t>Prepackaged crystalline food products (ICS 67.230.00).</t>
  </si>
  <si>
    <t>G/TBT/N/ISR/766</t>
  </si>
  <si>
    <t>Uniform contents of prepackaged food: dry food products - powders (2 pages  in Hebrew).</t>
  </si>
  <si>
    <t>The existing Mandatory Standard  SI 1118 part 8  dealing with the uniform contents of prepackaged food powders  shall be declared voluntary.</t>
  </si>
  <si>
    <t>Prepackaged food powders (ICS 67.060 and 67.230.00).</t>
  </si>
  <si>
    <t>G/TBT/N/EU/211</t>
  </si>
  <si>
    <t>Proposal for a Regulation of the European Parliament and of the Council on organic production and labelling of organic products  amending Regulation (EU) No XXX/XXX of the European Parliament and of the Council [Official controls Regulation] and repealing Council Regulation (EC) No 834/2007 (COM(2014) 180 final) (73 pages and 46 pages of Annexes  in English).</t>
  </si>
  <si>
    <t xml:space="preserve">This draft Commission Regulation establishes the principles of organic production of agricultural products and lays down the rules concerning organic production and the use of indications referring thereto in labelling and advertising. It contains detailed production rules applying to organic production and processing. </t>
  </si>
  <si>
    <t xml:space="preserve">Agricultural products and food </t>
  </si>
  <si>
    <t>Protection of the environment  Consumer information  Labelling</t>
  </si>
  <si>
    <t>G/TBT/N/ISR/759</t>
  </si>
  <si>
    <t>Uniform contents of prepackaged food: General (7 pages  in Hebrew).</t>
  </si>
  <si>
    <t>The existing Mandatory Standard  SI 1118 part 1  dealing with the uniform contents of prepackaged food  shall be declared voluntary.</t>
  </si>
  <si>
    <t>Prepackaged food (ICS 67.230).</t>
  </si>
  <si>
    <t>G/TBT/N/GHA/3/Rev.1</t>
  </si>
  <si>
    <t>Export and Import Act  1995 (Act 503) (7 pages in English only)  as amended by Act 585  (4pages  in English only)  GSA Guidelines on Destination Inspection of High Risk Goods (4pages  in English only).</t>
  </si>
  <si>
    <t>The regulation provides for Mandatory Certification of the products listed above in a bid to further assure the health and safety of consumers  preservation of the environment  and prevention of the influx of sub-standard goods which pose a number of risks. The regulation mandates that the listed products whether manufactured locally or imported shall undergo the process of Certification and bear the Mark of Conformity or the Standard Mark before being allowed to be displayed for sale. This Notification supersedes G/TBT/N/GHA/3.</t>
  </si>
  <si>
    <t>Building and Construction Materials (ICS 91.100.01)  Cables (29.060)  Electrical Appliances (97.030)  Gas Cylinders (75.200  23.020.30)  Household Electrical Appliances (97.060)  Textiles (59.080.30)  Wood and Wood Products (79.020)  Food technology (67.020)  Milk and Milk products (67.100)  Spices (67.220)   Food (67.040)  pharmaceuticals (11.120)  electrical appliances (43.040)  electrical products e.g. bulbs  switches  sockets (29.120.30)  electrical cables (29.120.30)  toys (97.200.50)  chemical and allied products (71.100.30)  used goods  petroleum products (75.080)  pyrotechnic products (71.100.30)  motor vehicle batteries (29.220.20  29.220.30)  alcoholic and non alcoholic beverages (67.160.10 &amp; 67.120.20)  African textile prints  arms and ammunitions (95.020)  Machetes and cutlass  vehicle spare parts (43.040)  industrial machinery (25.060.01).</t>
  </si>
  <si>
    <t>G/TBT/N/TPKM/159</t>
  </si>
  <si>
    <t>Regulations Governing the Labeling of Flavoring Ingredients in Prepackaged Food Additive Products (1 page in Chinese  English translation available)</t>
  </si>
  <si>
    <t>Based on Paragraph 2  Article 24 of the Act Governing Food Safety and Sanitation  the Food and Drug Administration  Ministry of Health and Welfare proposed to regulate the labeling of flavoring ingredients in prepackaged food additive products including flavorings sold as such to food producers and consumers. The notified measure applies to prepackaged food additive products containing flavoring ingredients.</t>
  </si>
  <si>
    <t>Prepackaged Food  Additive Products</t>
  </si>
  <si>
    <t>G/TBT/N/TPKM/158</t>
  </si>
  <si>
    <t>Act Governing Food Safety and Sanitation (16 pages in Chinese)</t>
  </si>
  <si>
    <t>An announcement was made on amending the Act Governing Food Safety and Sanitation on 5 February 2014. The key features of the new amendment are: the name of the law has been amended from the Act Governing Food Sanitation to the Act Governing Food Safety and Sanitation  the Ministry of Health and Welfare is authorized to set up a food safety fund  registration requirements for governing genetically modified (GM) food raw material  importers of GM food raw material are required to establish the traceability system  food businesses are required to send raw ingredients  semi-finished or finished products to laboratories for tests  imposes comprehensively stricter penalties on non-compliant businesses.</t>
  </si>
  <si>
    <t>G/TBT/N/EU/208</t>
  </si>
  <si>
    <t>Draft Commission Regulation authorising and refusing to authorise certain health claims made on foods and referring to the reduction of disease risk (7 pages + Annexes 4 pages  in English)..</t>
  </si>
  <si>
    <t>This draft Commission Regulation concerns the authorisation of three health claims and the rejection of five health claims made on foods and referring to the reduction of disease risk in accordance with Article 17(3) of Regulation (EC) No 1924/2006 of the European Parliament and of the Council of 20 December 2006 on nutrition and health claims made on foods.</t>
  </si>
  <si>
    <t>G/TBT/N/EU/207</t>
  </si>
  <si>
    <t>Draft Commission Regulation refusing to authorise certain health claims made on foods  other than those referring to the reduction of disease risk and to children's development and health (4 pages + Annex 2 pages  in English).</t>
  </si>
  <si>
    <t>G/TBT/N/THA/436</t>
  </si>
  <si>
    <t>Draft MOPH Notification  B.E...  entitled “Premium” Labelling on food label." (2 pages  in Thai).</t>
  </si>
  <si>
    <t>The Ministry of Public Health (MOPH) is proposing to establish the MOPH notification concerning "Premium" labelling on food label as follows:1.&amp;nbsp &amp;nbsp &amp;nbsp  Definition  "Premium" means the word that refers to quality and standards which are superior to food in the same type.2.&amp;nbsp &amp;nbsp &amp;nbsp  Food labelled "Premium" on the label must be approved by the Food and Drug Administration (Thai FDA).3.&amp;nbsp &amp;nbsp &amp;nbsp  Food labelled "Premium" on the label must comply with the following terms and conditions:3.1 Quality and standards shall comply with the relevant notification of the Ministry of Public Health.3.2 Meet the international standards or equivalent on conformity and certified processing system  from raw materials through to the finished product  including traceability. 3.3 Primary and secondary production shall&amp;nbsp  comply with good practice such as Good Agriculture Practice (GAP)  Good Manufacturing Practice (GMP)  Hazard Analysis and Critical Control Point (HACCP)  ISO 22000 or equivalent.3.4 Standards  quality or specific characteristic of products shallcomply with notification related "Premium" labelling for specific products  otherwise they shall meet the following requirements:·&amp;nbsp &amp;nbsp &amp;nbsp &amp;nbsp &amp;nbsp &amp;nbsp  Organic certification from official government  agency body or agency official approved ·&amp;nbsp &amp;nbsp &amp;nbsp &amp;nbsp &amp;nbsp &amp;nbsp  Geographical Indication (GI) registration from the Ministry of Commerce ·&amp;nbsp &amp;nbsp &amp;nbsp &amp;nbsp &amp;nbsp &amp;nbsp  Raw material or main ingredients and finished goods are superior to general ·&amp;nbsp &amp;nbsp &amp;nbsp &amp;nbsp &amp;nbsp &amp;nbsp  Processing through specific method that makes characteristics of foods superior to general products.4.&amp;nbsp &amp;nbsp &amp;nbsp  Food operators that use the "Premium" labelling before this notification shall comply withthe notification within two years&amp;nbsp of its entry into force.This notification shall come into force&amp;nbsp  the following day after its publication in the Government Gazette.</t>
  </si>
  <si>
    <t>Food in General  (ICS:67.040)</t>
  </si>
  <si>
    <t>G/TBT/N/EU/205</t>
  </si>
  <si>
    <t>Draft Commission Implementing Regulation on the requirements for the provision of information to consumers on the absence or reduced presence of gluten in food (5 pages + Annex 2 pages  in English).</t>
  </si>
  <si>
    <t>This draft Commission Implementing Regulation establishes the requirements for the provision of food information on the absence or reduced presence of gluten in food ("gluten-free" and "very low gluten" statements).</t>
  </si>
  <si>
    <t>G/TBT/N/EU/204</t>
  </si>
  <si>
    <t>Draft Commission Regulation refusing to authorise certain health claims made on foods  other than those referring to the reduction of disease risk and to children's development and health (6 pages + Annex 3 pages  in English).</t>
  </si>
  <si>
    <t>This draft Commission Regulation concerns the refusal of authorisation of eight health claims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</si>
  <si>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G/TBT/N/BRA/584</t>
  </si>
  <si>
    <t>Draft Normative Instruction nº 08  March 10th 2014 that adopts provisions on medical devices  hygiene products  cosmetics and food which manufacturing can be shared with medicines of human use  irrespective of previous authorization by ANVISA (4 pages  in Portuguese).</t>
  </si>
  <si>
    <t>Draft Normative Instruction nº 08  March 10th 2014 that adopts provisions on medical devices  hygiene products  cosmetics and food which manufacturing can be shared with medicines of human use  irrespective of previous authorization by ANVISA.The shared manufacturing of products not listed in this draft normative instruction depends on previous authorization by ANVISA  which must be required by specific code and instructed with supporting documents. This documentation can be complemented by a sanitary inspection if it is necessary to the conclusion about the shared manufacturing request.The previous authorization of products listed in this draft normative instruction doesn´t exempt companies from presenting supporting documents whenever required.</t>
  </si>
  <si>
    <t>Medical devices  hygiene products  cosmetics  food and medicines</t>
  </si>
  <si>
    <t>G/TBT/N/EU/203</t>
  </si>
  <si>
    <t>Draft Commission Regulation refusing to authorise certain health claims made on foods  other than those referring to the reduction of disease risk and to children's development and health (5 pages + Annex 3 pages  in English)..</t>
  </si>
  <si>
    <t>This draft Commission Regulation concerns the refusal of authorisation of five health claims made on foods  other than those referring to the reduction of disease risk and to children's development and health in accordance with Article 18(5) of Regulation (EC) No 1924/2006 of the European Parliament and of the Council of 20 December 2006 on nutrition and health claims made on foods.</t>
  </si>
  <si>
    <t>G/TBT/N/EU/202</t>
  </si>
  <si>
    <t>Draft Commission Regulation on the authorisation of a health claim made on foods and referring to the reduction of disease risk (4 pages + Annex 2 pages  in English)..</t>
  </si>
  <si>
    <t>This draft Commission Regulation concerns the authorisation of one health claim made on foods and referring to the reduction of disease risk in accordance with Article 17(3) of Regulation (EC) No 1924/2006 of the European Parliament and of the Council of 20 December 2006 on nutrition and health claims made on foods.</t>
  </si>
  <si>
    <t>G/TBT/N/SAU/733</t>
  </si>
  <si>
    <t>The Kingdom of Saudi Arabia / THE COOPERATION COUNCIL FOR THE ARAB STATES OF THE GULF Draft Technical Regulation for "Sweeteners Permitted for Use in Food Products ".  Language: Arabic and English  Number of pages:  (15 and 9).</t>
  </si>
  <si>
    <t>Foodstuffs: Sweeteners Permitted for Use in Food Products (ICS Code: 67.180.10)</t>
  </si>
  <si>
    <t>G/TBT/N/TUR/49</t>
  </si>
  <si>
    <t>Regulation Amending Turkish Food Codex Regulation on Materials and Articles in Contact with Food .  (2 pages  in Turkish).</t>
  </si>
  <si>
    <t>The purpose of this amendmentis to determine the rules for chemical recycling of plastics that are in contact with food and setting a release limit and labelling rules for aluminium which are in contact with food.</t>
  </si>
  <si>
    <t>Materials and articles intended to come into contact with food.</t>
  </si>
  <si>
    <t>G/TBT/N/ARE/205</t>
  </si>
  <si>
    <t xml:space="preserve">UAE/GCC Draft of  Technical Regulation for  Unbottled drinking water  (14 in Arabic  10 pages in English).          </t>
  </si>
  <si>
    <t>This UAE/Gulf draft technical regulation concerned with Unbottled drinking water suitable for human consumption</t>
  </si>
  <si>
    <t xml:space="preserve">Foodstuffs: Unbottled drinking water:( ICS Code: 67.160). </t>
  </si>
  <si>
    <t>G/TBT/N/SAU/732</t>
  </si>
  <si>
    <t>The Kingdom of Saudi Arabia / THE COOPERATION COUNCIL FOR THE ARAB STATES OF THE GULF Draft Technical Regulation for " High Fructose Syrup (42% AND 55%)".  Language: Arabic and English  Number of pages:  (7 and 6).</t>
  </si>
  <si>
    <t>This draft technical regulation applies to general requirements to be fulfilled in High Fructose Syrup (42% AND 55%) which is used in food manufacturing.</t>
  </si>
  <si>
    <t>Foodstuffs: High Fructose Syrup (42% AND 55%) (ICS Code: 67.180.20)</t>
  </si>
  <si>
    <t>G/TBT/N/EU/198</t>
  </si>
  <si>
    <t>Proposal for a Council Directive on the placing on the market of food from clones (COM(2013) 893 final)  (11 pages  in English).</t>
  </si>
  <si>
    <t>This proposal would provisionally prohibit the marketing of food from animal clones. The rules would only concern the clones themselves (not offspring or descendants).The proposed Directive would require Member States to report to the Commission on the operation of the Directive 5 years after its transposition. The Commission would then present a report on the application of the Directive to the Parliament and Council taking into account the national reports  scientific and technical progress particularly that relating to animal welfare aspects of cloning and international developments. Member States would be required to transpose the Directive into national law within one year after its entry into force.</t>
  </si>
  <si>
    <t>all food from animal clones  this would include: meat and edible meat offal  dairy produce  birds' eggs  natural honey  edible products of animal origin  not elsewhere specified or included  products of animal origin  not elsewhere specified or included (if food or used for food production)  animal or vegetable fats and oils and their cleavage products  prepared edible fats  animal or vegetable waxes (if food or used for food production)  preparations of meat  of fish or of crustaceans  molluscs or other aquatic invertebrates (if food or used for food production)   miscellaneous edible preparations (if obtained from animal clones if food or used for food production)</t>
  </si>
  <si>
    <t>G/TBT/N/ARE/204</t>
  </si>
  <si>
    <t xml:space="preserve">UAE/GCC Draft of  Technical Regulation for  Puffed  Grain    (12 in Arabic).          </t>
  </si>
  <si>
    <t>This draft technical regulation is concerned with draft of Technical Regulation for Puffed&amp;nbsp  Grain&amp;nbsp    which specifies the definitions of the product  and the quality requirements  sampling  methods of testing  transportation &amp;nbsp  storage and labelling</t>
  </si>
  <si>
    <t xml:space="preserve">Foodstuffs: Puffed  Grain  :( ICS Code: 67.060). </t>
  </si>
  <si>
    <t>G/TBT/N/ARE/203</t>
  </si>
  <si>
    <t xml:space="preserve">UAE/GCC Draft of  Technical Regulation for  Canned Stone Fruits   (14 in Arabic  11 pages in English).   </t>
  </si>
  <si>
    <t>This UAE/Gulf draft technical regulation concerned with canned stone fruits  offered for direct consumption  including for catering purposes or for repacking if required. It does not apply to the product when indicated as being intended for further processing.</t>
  </si>
  <si>
    <t xml:space="preserve">Foodstuffs: Canned Stone Fruits:( ICS Code: 67.080). </t>
  </si>
  <si>
    <t>G/TBT/N/ARE/202</t>
  </si>
  <si>
    <t xml:space="preserve">UAE/GCC Draft of  Technical Regulation for  Bottled drinking water  (18 in Arabic  13 pages in English).          </t>
  </si>
  <si>
    <t>This UAE/Gulf draft technical regulation concerned with bottled drinking water fit for human consumption  and not include natural mineral water</t>
  </si>
  <si>
    <t xml:space="preserve">Foodstuffs: Bottled drinking water:( ICS Code: 67.160). </t>
  </si>
  <si>
    <t>G/TBT/N/QAT/323</t>
  </si>
  <si>
    <t>Food additives- Food grade mineral oils (Arabic 6 pages  English 4 pages)</t>
  </si>
  <si>
    <t>This Gulf Technical regulation include: definitions- types- guidance number- description- characteristics- packaging  transportation  storage- labelling</t>
  </si>
  <si>
    <t xml:space="preserve">Food additives- Food grade mineral oils ICS: 67.220.20                </t>
  </si>
  <si>
    <t>G/TBT/N/USA/894</t>
  </si>
  <si>
    <t>Food Labeling: Serving Sizes of Foods That Can Reasonably Be Consumed at One-Eating Occasion  Dual-Column Labeling  Updating  Modifying  and Establishing Certain Reference Amounts Customarily Consumed  Serving Size for Breath Mints  and Technical Amendments (41 pages  in English).</t>
  </si>
  <si>
    <t>The Food and Drug Administration (FDA or we) is proposing to amend the definition of a single-serving container  require dual-column labeling for certain containers  update and modify several reference amounts customarily consumed (RACCs or reference amounts)  add several food products and food product categories to the reference amounts customarily consumed per eating occasion for the general food supply  amend the label serving size for breath mints  and make technical amendments to various aspects of the serving size regulations. These actions are being taken  in part  in response to recommendations of the 2003 FDA Obesity Working Group and FDA's recognition that portion sizes have changed since the original serving size regulations were published in 1993. This proposal also discusses six citizen petitions. The intended effect of this rulemaking is to provide consumers with more accurate and up-to-date information on serving sizes.</t>
  </si>
  <si>
    <t>Food products  labeling  serving sizes</t>
  </si>
  <si>
    <t>G/TBT/N/USA/893</t>
  </si>
  <si>
    <t>Food Labeling: Revision of the Nutrition and Supplement Facts Labels (109 pages  in English).</t>
  </si>
  <si>
    <t>The Food and Drug Administration (FDA  the Agency  or we) is proposing to amend its labeling regulations for conventional foods and dietary supplements to provide updated nutrition information on the label to assist consumers in maintaining healthy dietary practices. The updated information is consistent with current data on the associations between nutrients and chronic diseases or health-related conditions  reflects current public health conditions in the United States  and corresponds to new information on consumer behavior and consumption patterns. We are proposing to update the list of nutrients that are required or permitted to be declared  provide updated Daily Reference Values and Reference Daily Intake values that are based on current dietary recommendations from consensus reports  amend requirements for foods represented or purported to be specifically for children under the age of 4 years and pregnant and lactating women and establish nutrient reference values specifically for these population subgroups  and revise the format and appearance of the Nutrition Facts label.</t>
  </si>
  <si>
    <t>Food products  labeling</t>
  </si>
  <si>
    <t>G/TBT/N/TPKM/155</t>
  </si>
  <si>
    <t>Public Notice (food No. 1021351812) issued by the Food and Drug Administration  Ministry of Health and Welfare: Proposal for “Registration Permit Number Shall be Printed prominently on the Label of a Single Food Additive” (2 pages in Chinese)</t>
  </si>
  <si>
    <t>The FDA would like to require that the registration permit number be printed in a prominent manner on the label of a single food additive in accordance with subparagraph 9  paragraph 1  Article 24 of Act Governing Food Safety and Sanitation.</t>
  </si>
  <si>
    <t>Food Additives</t>
  </si>
  <si>
    <t>G/TBT/N/ARE/201</t>
  </si>
  <si>
    <t xml:space="preserve">UAE/GCC Draft of  Technical Regulation for " Additives Permitted for Use In Food Stuffs  (290 in Arabic  287 pages in English).          </t>
  </si>
  <si>
    <t xml:space="preserve">UAE/GCC Draft of &amp;nbsp Technical Regulation for " Additives Permitted for Use In Food Stuffs(290 in Arabic  287 pages in English).&amp;nbsp &amp;nbsp &amp;nbsp &amp;nbsp &amp;nbsp &amp;nbsp &amp;nbsp  </t>
  </si>
  <si>
    <t>Foodstuffs: Additives Permitted for Use In Food Stuffs :(ICS Code: 67.220.20). 67.180</t>
  </si>
  <si>
    <t>G/TBT/N/ZAF/175</t>
  </si>
  <si>
    <t>Regulations Relating to the Grading  Packing and Marking of Rice intended for sale in the Republic of South Africa in terms of the Agricultural Product Standards Act  1990 (Act No. 11 of 1990) (12 pages  in English).</t>
  </si>
  <si>
    <t>The proposed regulations cover the quality standards  containers  packing and marking requirements  sampling procedures  methods of inspection  offences and penalties  other legislation and repeal of regulation.</t>
  </si>
  <si>
    <t xml:space="preserve"> ICS codes: 67  HS codes: 1006 </t>
  </si>
  <si>
    <t>G/TBT/N/SAU/721</t>
  </si>
  <si>
    <t>The Kingdom of Saudi Arabia / THE COOPERATION COUNCIL FOR THE ARAB STATES OF THE GULF Draft Technical Regulation for " Additives Permitted for Use In Food Stuffs ".  Language: Arabic and English  Number of pages:  (290 and 287).</t>
  </si>
  <si>
    <t>This draft technical regulation applies to the Food additives permitted for use in food stuffs</t>
  </si>
  <si>
    <t>Foodstuffs: Additives Permitted for Use In Food Stuffs:(ICS Code: 67.220.20).</t>
  </si>
  <si>
    <t>G/TBT/N/ECU/208</t>
  </si>
  <si>
    <t>8419.81.00  8420.10.10  8420.10.90  8210.00.10  8210.00.90  8433.60.10  8433.60.90  8434.10.00  8434.20.00  8435.10.00  8436.10.00  8436.21.00  8436.29.10  8436.29.20  8436.29.90  8436.80.10  8436.80.90  8437.10.11  8437.10.19  8437.10.90  8437.80.11  8437.80.19  8437.80.91  8437.80.92  8437.80.93  8437.80.99  8438.10.10  8438.10.20  8438.20.10  8438.20.20  8438.30.00  8438.40.00  8438.50.10  8438.50.90  8438.60.00  8438.80.10  8438.80.20  8438.80.90  8478.10.10  8478.10.90</t>
  </si>
  <si>
    <t xml:space="preserve"> HS codes: 841981  843510  843710  843820  842010  843420  821000  843840  843850  843880  847810  843610  843360  843860  843410  843810  843680  843780  843830  843621  843629 </t>
  </si>
  <si>
    <t>G/TBT/N/ISR/744</t>
  </si>
  <si>
    <t>Public Health Regulations (Food) (Food Packaging that includes an object) (Amendment) 5774-2013 (2 pages  in Hebrew).</t>
  </si>
  <si>
    <t xml:space="preserve">Amendment to Israel's Ministry of Health regulations titled "Public Health Regulations (Food) (Food Packaging that includes an object) (Amendment) 5774-2013". The original regulations from 1995 set the conditions for including a non-food object or a toy in a food package and define the labelling instructions for this package. These instructions require that if the food package includes a toy  it should be marked with a warning "Not for the use of children under 3 years old".&amp;nbsp  &amp;nbsp This new amendment is in line with the provisions of the European Toy Safety Directive 2009/48/EC which sets out the conditions for toy safety in general  including reference to the labelling of toys that contain small parts and are not designed for children under 36 months old  and in particular the requirements and conditions for food packaging that contains a toy. The above mentioned Directive was published in June 2009 and its provisions entered into force in 2011. &amp;nbsp &amp;nbsp In addition it is important to note that the same labelling requirements for toys are imposed by paragraph 7.2 of Israel Mandatory Standard SI 562 part 1 dealing with toy safety.&amp;nbsp &amp;nbsp &amp;nbsp The major changes introduced in this amendment are as follows: Changes regulation 2 to include a reference to the impact of the object that is in the package. In addition it sets a clear separation between the labelling requirements for an object and for a toy  as defined in the original regulations. The packaging must have a warning about the non-food &amp;nbsp items it contains and the need for adult supervision or to keep out of the reach of &amp;nbsp children under the age of three &amp;nbsp &amp;nbsp  Adds paragraph 2a that excludes from these&amp;nbsp regulations measuring spoons inserted into certain food packages. </t>
  </si>
  <si>
    <t>Food packaging that includes an object</t>
  </si>
  <si>
    <t>G/TBT/N/EU/186</t>
  </si>
  <si>
    <t>Proposal for a Regulation of the European Parliament and of the Council on novel foods (COM(2013) 894 final) (51 pages  in English).</t>
  </si>
  <si>
    <t>The proposed regulation repeals Regulation (EC) No 258/97 on Novel Foods. It creates in the European Union (EU) a centralised authorisation system  with a scientific risk assessment based on food safety and a Commission authorisation decision for the placing of novel foods on the EU market. It provides greater certainty  simplifies and speeds up the authorisation process for applicants thereby reducing administrative burden and costs.The proposed regulation also introduces an appropriate authorisation process for foods  which are new in the European Union but are traditional in third countries. If a history of safe food use can be demonstrated in a third country and there are no food safety objections from the European Food Safety Authority (EFSA) or EU Member States the food will be allowed to be placed on the EU market on the basis of a notification from the third country's food business operators.</t>
  </si>
  <si>
    <t>Novel Foods</t>
  </si>
  <si>
    <t>G/TBT/N/KWT/211</t>
  </si>
  <si>
    <t>Arabic 6 pages         English 4 pages</t>
  </si>
  <si>
    <t xml:space="preserve">Food additives- Food grade mineral oils  ICS: 67.220.20                </t>
  </si>
  <si>
    <t>G/TBT/N/USA/885</t>
  </si>
  <si>
    <t>Current Good Manufacturing Practices  Quality Control Procedures  Quality Factors  Notification Requirements  and Records and Reports  for Infant Formula (143 pages  in English).</t>
  </si>
  <si>
    <t>The Food and Drug Administration (FDA  the Agency  or we) is revising our infant formula regulations to establish requirements for current good manufacturing practices (CGMP)  including audits  to establish requirements for quality factors  and to amend FDA's quality control procedures  notification  and record and reporting requirements for infant formula. FDA is taking this action to improve the protection of infants who consume infant formula products.</t>
  </si>
  <si>
    <t>Infant formula</t>
  </si>
  <si>
    <t xml:space="preserve"> ICS codes: 03.120  67.020 </t>
  </si>
  <si>
    <t>G/TBT/N/SGP/20</t>
  </si>
  <si>
    <t>Draft Food (Amendment) Regulations 2014</t>
  </si>
  <si>
    <t>The Agri-Food &amp;amp  Veterinary Authority of Singapore (AVA) has reviewed the Food Regulations and proposes to make an editorial amendment to the mandatory statements that must be declared on food products containing phytosterols  phytosterol esters  phytostanols and phytostanol esters. Presently  food products containing phytosterols  phytosterol esters  phytostanols and phytostanol esters are required to carry the following mandatory statements on their product labels:(a)&amp;nbsp &amp;nbsp  The product is a special purpose food intended exclusively for people who want to lower their blood cholesterol level (b)&amp;nbsp  Patients on cholesterol lowering medication should only consume the product under medical supervision (c)&amp;nbsp &amp;nbsp  The product may not be nutritionally appropriate for pregnant and breast-feeding women and children under the age of 5 years (d)&amp;nbsp  The product should be used as part of a balanced and varied diet  including regular consumption of fruit and vegetables to help maintain carotenoid levels (e)&amp;nbsp  Consumption of more than 3 g per day of added phytosterols or phytostanols should be avoided  and(f)&amp;nbsp &amp;nbsp &amp;nbsp  A statement suggesting the amount of the food (in g or ml) to be consumed each time (referred to as a serving) and the number of servings suggested to be consumed per day  with a statement of the amount of phytosterols or phytostanols that each serving contains.Singapore proposes to amend the above mandatory statements to the following:(a)&amp;nbsp &amp;nbsp  The product may not be nutritionally appropriate for pregnant and breast-feeding women and children under the age of 5 years (b)&amp;nbsp  The product should be used as part of a balanced diet (c)&amp;nbsp &amp;nbsp  A statement recommending the daily consumption of 2 - 3g of phytosterols/phytostanols.(d)&amp;nbsp  A statement of the amount of phytosterols  phytosterol esters (calculated as phytosterols)  phytostanols or phytostanol esters (calculated as phytostanols) that each serving contains.(The above amendment is also notified via SPS notification.)</t>
  </si>
  <si>
    <t>G/TBT/N/MYS/38</t>
  </si>
  <si>
    <t xml:space="preserve">Trade Descriptions (Goods Made From Any Part Of Pig Or Dog) Order 2013 (5 pages  in English and Malay) </t>
  </si>
  <si>
    <t xml:space="preserve">a)&amp;nbsp &amp;nbsp &amp;nbsp &amp;nbsp &amp;nbsp  Definition of ‘pig’ and ‘dog’.b)&amp;nbsp &amp;nbsp &amp;nbsp &amp;nbsp &amp;nbsp  Goods that are made from pig or dog parts shall be displayed separately in premises labelled/tagged/marked clearly and the labels are to be made in the manner as prescribed in the Order.&amp;nbsp  &amp;nbsp </t>
  </si>
  <si>
    <t>Goods made from any part of pig and/or dog  excluding food item and animal food.</t>
  </si>
  <si>
    <t>G/TBT/N/TUR/45</t>
  </si>
  <si>
    <t>Amendment Regulation on Turkish Food Codex Regulation on Labelling (3 pages  available in Turkish). Official Gazette of the Republic of Turkey  No. 28754  September 3  2013 (available in Turkish). (4 pages  in Turkish).</t>
  </si>
  <si>
    <t xml:space="preserve">This Regulation establishes the general principles  requirements and responsibilities governing food information  and in particular food labelling. The amendments foreseen with the “Amendment Regulation &amp;nbsp on Turkish Food Codex Regulation on Labelling” are:a. If ethyl alcohol or any alcoholic beverage  used as an ingredient or compound ingredient in the manufacture or preparation of a food  shall be given in the ingredients list and notwithstanding the amount of the alcohol  the statement "contains alcohol" shall be placed on the label. The transition period will end on January 1  2015.b. If the food contains any product obtained from pigs shall be indicated by the statement "contains ... obtained from pigs" on the label  notwithstanding the amount of that product. The transition period will end on January 1  2015.c. Tracking system for certain food categories should be implemented and Product Verification and Tracking System labels should be applied to the food categories specified by the Ministry. The transition period will end on September 1  2014. &amp;nbsp </t>
  </si>
  <si>
    <t>Food (excluding spring water  drinking water  natural mineral water  water for special medical purpose of which are produced without using any food additives  flavorings and any material for enrichment purposes).</t>
  </si>
  <si>
    <t>G/TBT/N/EU/180</t>
  </si>
  <si>
    <t>Draft Commission Regulation on the authorisation of a health claim made on foods and referring to the reduction of disease risk  (4 pages  in English  2 pages  in English).</t>
  </si>
  <si>
    <t>Jamaica</t>
  </si>
  <si>
    <t>G/TBT/N/JAM/41</t>
  </si>
  <si>
    <t xml:space="preserve">Jamaican Standard Specification for  CODEX general standard for food additives (CODEX STAN 192-1995)  (271 pages  English)     </t>
  </si>
  <si>
    <t xml:space="preserve">This document specifies the conditions under which food additives may be used in all foods and provides a list of food additives which are recognized as suitable for use in foods. It applies to all foodstuffs  including those in which no food additives are permitted. </t>
  </si>
  <si>
    <t xml:space="preserve">Food Additives    </t>
  </si>
  <si>
    <t>G/TBT/N/ARE/187</t>
  </si>
  <si>
    <t xml:space="preserve">UAE GCC Technical Regulation for  Halal Food – part 3 – Requirements for halal  accreditation bodies accrediting halal certification bodies    (23 pages in Arabic)  </t>
  </si>
  <si>
    <t>UAE GCC draft of Technical Regulation concerned with Requirements for halal&amp;nbsp  accreditation bodies accrediting halal certification bodies specifies Gulf requirements that must be provided in the accreditation bodies which are accrediting halal certification bodies</t>
  </si>
  <si>
    <t>Foods Chain</t>
  </si>
  <si>
    <t>G/TBT/N/ARE/186</t>
  </si>
  <si>
    <t xml:space="preserve">UAE GCC Technical Regulation  for Halal Food – part 2 – Requirements for Halal certification bodies     (25 pages in Arabic)  </t>
  </si>
  <si>
    <t>UAE GCC draft of Technical Regulation concerned with Requirements for Halal certification bodies specifies requirements for the implementation of procedures for issuing Halal certification for the product / service and / or management systems  to those who issue these certificates</t>
  </si>
  <si>
    <t>Rwanda</t>
  </si>
  <si>
    <t>G/TBT/N/RWA/22</t>
  </si>
  <si>
    <t>MINISTERIAL INSTRUCTION NO 21/2013 OF 03/07/2013 DECLARING COMPULSORY RWANDAN STANDARDS (37 pages  in English  37 pages  in French).</t>
  </si>
  <si>
    <t>Compulsory Rwandan Standards (RS) concerning Roots and Tubers</t>
  </si>
  <si>
    <t xml:space="preserve">Roots and Tubers:  High Quality Cassava flour  Dried cassava chips   Cassava flour  Cassava wheat composite flour  Food grade cassava starch Cassava crisps  Potato crisps   Frozen potato chips  Fried potato chips    </t>
  </si>
  <si>
    <t xml:space="preserve"> ICS codes: 67.080.20 </t>
  </si>
  <si>
    <t>G/TBT/N/RWA/15</t>
  </si>
  <si>
    <t>Compulsory Rwandan Standards (RS) concerning processed products</t>
  </si>
  <si>
    <t>Processed Products: Milk based foods  Cakes  Cookies  Fruit Jams  Jellies and Marmalade  Peanut Butter  Chilli Sauce   Ground cassava leaves (ISOMBE)  Fresh Tofu  Cooked Packaged Beans  Cooked Packaged Maize  Roasted macadamia</t>
  </si>
  <si>
    <t>G/TBT/N/RWA/14</t>
  </si>
  <si>
    <t>Compulsory Rwandan Standards (RS) concerning fortified products</t>
  </si>
  <si>
    <t>Fortified products: Fortified Milled Maize (Corn) Products Fortified Salt-Specification  Fortified Edible Oils and Fats Fortified Sugar  Fortified Wheat Flour</t>
  </si>
  <si>
    <t>G/TBT/N/RWA/12</t>
  </si>
  <si>
    <t>Compulsory Rwandan Standards (RS) concerning Infant foods</t>
  </si>
  <si>
    <t xml:space="preserve">infant  foods : Processed Cereals based Foods for Infants and Children   Breakfast Cereals-Specification Part2:Flaked breakfast Cereals  Infant food formula  </t>
  </si>
  <si>
    <t>G/TBT/N/RWA/9</t>
  </si>
  <si>
    <t xml:space="preserve">Compulsory Rwandan Standards (RS) concerning labeling and food hygiene </t>
  </si>
  <si>
    <t>Labeling and Hygiene:  General standard for the labeling of Pre-Packaged Foods General standard for the labeling of Food Additives when sold as such  General standard for the labeling and claims for prepackaged foods for special dietary uses  Code of practice –General Principle for Food Hygiene  Code of Hygienic Practice for Meat  Code of hygienic practice for powdered formulae for infants and young children  Requirements for Hazard Analysis Critical Control Points (HACCP) system</t>
  </si>
  <si>
    <t>G/TBT/N/EU/178</t>
  </si>
  <si>
    <t>Draft Commission Delegated Regulation supplementing Directive 2010/30/EU of the European Parliament and of the Council with regard to energy labelling of professional storage cabinets (27 pages  in English).</t>
  </si>
  <si>
    <t>This draft Commission Delegated Regulation sets requirements for the energy labelling and the provision of product information for professional storage cabinets. The draft Regulation is based on the findings of technical  environmental and economic studies which have been carried out with stakeholders from around the world.</t>
  </si>
  <si>
    <t>electric mains-operated professional storage cabinets including those sold for the refrigeration of items other than foodstuffs.</t>
  </si>
  <si>
    <t>G/TBT/N/EU/177</t>
  </si>
  <si>
    <t>Draft Commission Regulation implementing Directive 2009/125/EC of the European Parliament and of the Council with regard to ecodesign requirements for professional storage cabinets  blast cabinets  condensing units and process chillers  (38 pages  in English).</t>
  </si>
  <si>
    <t>This draft Commission Regulation sets minimum energy performance and information requirements for professional storage cabinets  blast cabinets  condensing units and process chillers  as there exists a cost-effective potential to limit the energy consumption of these products. In accordance with Framework Directive 2009/125/EC  products not meeting these requirements will not be allowed to be placed on the EU market. The draft Regulation is based on the findings of technical  environmental and economic studies which have been carried out with stakeholders from around the world.</t>
  </si>
  <si>
    <t xml:space="preserve">&amp;#61485  electric mains-operated professional storage cabinets including those sold for the refrigeration of items other than foodstuffs    &amp;#61485  electric mains-operated blast cabinets    &amp;#61485  process chillers intended to operate at low and medium temperature   &amp;#61485  condensing units operating at low and medium temperature.  </t>
  </si>
  <si>
    <t>G/TBT/N/SAU/718</t>
  </si>
  <si>
    <t>The Kingdom of Saudi Arabia / THE COOPERATION COUNCIL FOR THE ARAB STATES OF THE GULF Draft Technical Regulation for " Bottled drinking water ".  Language: Arabic and English  Number of pages:  (19and 13).</t>
  </si>
  <si>
    <t>This draft technical regulation is applies to bottled drinking water suitable for human consumption  and not include natural mineral water.</t>
  </si>
  <si>
    <t>Foodstuffs: Bottled drinking water :(ICS Code: 67.160)</t>
  </si>
  <si>
    <t>G/TBT/N/SAU/717</t>
  </si>
  <si>
    <t>The Kingdom of Saudi Arabia / THE COOPERATION COUNCIL FOR THE ARAB STATES OF THE GULF Draft Technical Regulation for " Maximum Limits of Pesticides Residues and Contaminants in Organic Food ".  Language: Arabic and English  Number of pages:  (6 and 4).</t>
  </si>
  <si>
    <t>Foodstuffs: Maximum Limits Of Pesticides Residues and Contaminants in Organic Food (ICS Code: 65.100 and 67.040).</t>
  </si>
  <si>
    <t>G/TBT/N/ZAF/86/Rev.1</t>
  </si>
  <si>
    <t>Regulations relating to the grading  packing and marking of soya beans intended for sale in the Republic of South Africa (8 pages  in English).</t>
  </si>
  <si>
    <t>The proposed regulationscover the quality standards  containers  packing and marking requirements sampling procedures  methods of inspection  determination of other substances mass determination  determination of deviations  moisture content determination of wet pods  other grains  defective soya beans  soiled beans etc offences and penalties.</t>
  </si>
  <si>
    <t>Soya beans  whether or not broken. (HS 1201)  FOOD TECHNOLOGY (ICS 67).</t>
  </si>
  <si>
    <t>G/TBT/N/ZAF/85/Rev.1</t>
  </si>
  <si>
    <t>Regulations relating to the grading  packing and marking of sunflower seed intended for sale in the Republic of South Africa (8 pages  in English).</t>
  </si>
  <si>
    <t>The proposed regulationscover the quality standards  containers  packing and marking requirements sampling procedures  methods of inspection  determination of other substances mass determination  determination of deviations  moisture content determination of wet pods  other grains  defective sunflower seeds  etcoffences and penalties.</t>
  </si>
  <si>
    <t>Sunflower seeds  whether or not broken. (HS 1206)  FOOD TECHNOLOGY (ICS 67).</t>
  </si>
  <si>
    <t xml:space="preserve"> HS codes: 1206 </t>
  </si>
  <si>
    <t>G/TBT/N/KOR/465</t>
  </si>
  <si>
    <t xml:space="preserve">Drafted Establishment of Labelling Standard for Genetically Modified Foods(Available in Korean  13 pages) </t>
  </si>
  <si>
    <t>The Drafted Establishment Labelling Standard for Genetically Modified Foods redefines GMO labelling of Agro-Fishery products and processed foods regarding the definitions  scopes of labelling  responsible persons  labelling methods  etc  in order to prevent confusion amongst consumers.- Unify the terms ‘Genetically Modified Food’ or ‘Genetic Recombinant Food’ into ‘Genetically Modified Food’.- Define that an “unintentionally presence” is equal to or less than 3%.</t>
  </si>
  <si>
    <t>Food  Labelling</t>
  </si>
  <si>
    <t>G/TBT/N/SAU/684</t>
  </si>
  <si>
    <t>The Kingdom of Saudi Arabia / THE COOPERATION COUNCIL FOR THE ARAB STATES OF THE GULF Draft Technical Regulation for " Trans Fatty Acids ".  Language: Arabic and English  Number of pages:  (4 and 4).</t>
  </si>
  <si>
    <t>This draft technical regulation is applies to the maximum amount allowed for trans fatty acid and declaring the trans fatty acid on the nutrition label per serving.</t>
  </si>
  <si>
    <t>Foodstuffs: Trans Fatty Acids:(ICS Code: 67.040).</t>
  </si>
  <si>
    <t>G/TBT/N/ARE/181</t>
  </si>
  <si>
    <t xml:space="preserve">Emirates National Halal Mark - Certification Scheme  ( 10 Pages Arabic )  </t>
  </si>
  <si>
    <t xml:space="preserve">Emirates National Halal Mark - Certification Scheme which specifies the requirements  procedure and fees to issue UAE National Halal mark according to Halal control regulation for food products </t>
  </si>
  <si>
    <t xml:space="preserve">Halal Foods </t>
  </si>
  <si>
    <t>G/TBT/N/JPN/448</t>
  </si>
  <si>
    <t>Outline of proposed scheme on Geographical Indications of Agricultural  Forestry and Fishery Products (1 pages  in English).</t>
  </si>
  <si>
    <t>A new scheme for recognition and protection of Geographical Indications (GIs).</t>
  </si>
  <si>
    <t>Food  beverages and other agricultural  forestry and fishery products (including processed products) other than alcoholic beverages and pharmaceuticals</t>
  </si>
  <si>
    <t>G/TBT/N/ECU/127</t>
  </si>
  <si>
    <t>Proyecto de REGLAMENTO TÉCNICO ECUATORIANO PRTE INEN 106 “PRODUCTOS DE CACAO.  CHOCOLATES”. 6 páginas. En español.</t>
  </si>
  <si>
    <t>Este Proyecto de Reglamento Técnico establece el objeto  campo de aplicación  definiciones  requisitos del producto  requisitos de rotulado  muestreo  ensayos para evaluar la conformidad  documentos de referencia  procedimiento para evaluar la conformidad  autoridad vigilancia y control  régimen de sanciones  responsabilidad de los organismos de evaluación de la conformidad y revisión y actualización del Reglamento Técnico Ecuatoriano “PRODUCTOS DE CACAO.&amp;nbsp  CHOCOLATES”.</t>
  </si>
  <si>
    <t>18.06  1806.10.00  1806.20  1806.20.10  1806.20.90  1806.31.00  1806.32.00  1806.90.00</t>
  </si>
  <si>
    <t xml:space="preserve"> HS codes: 180631  1806  180690  180632  180620  180610 </t>
  </si>
  <si>
    <t>G/TBT/N/TPKM/153</t>
  </si>
  <si>
    <t>Draft Enforcement Rules of the Act Governing Food Sanitation (17 pages in Chinese)</t>
  </si>
  <si>
    <t>Chinese Taipei President has made an announcement on amending the Act Governing Food Sanitation on 19 June 2013. The Enforcement Rules of the Act Governing Food Sanitation shall be revised accordingly. The key feature of the draft is that the labeling requirements for the name of food additives  food manufacturing company  and the food utensils  food containers or packaging and food cleansers.</t>
  </si>
  <si>
    <t>Food for human consumption .</t>
  </si>
  <si>
    <t>G/TBT/N/EU/171</t>
  </si>
  <si>
    <t>Draft Commission Regulation amending Regulations (EC) No 983/2009 and (EU) No 384/2010 as regards the conditions of use of certain health claims related to the lowering effect of plant sterols and plant stanols on blood LDL-cholesterol (6 pages  in English).</t>
  </si>
  <si>
    <t>This draft Commission Regulation concerns the amendment of the Regulation (EC) No 983/2009 concerning the conditions of use authorised for two health claims related to the effects of plant sterols and plant stanol esters on the lowering of the blood cholesterol  and the amendment of Regulation (EU) No 384/2010 concerning the conditions of use authorised for one health claim related to the effects of plant sterols/plant stanol esters on the lowering of the blood cholesterol  in order to reflect the magnitude of the effect.</t>
  </si>
  <si>
    <t>G/TBT/N/ARE/180</t>
  </si>
  <si>
    <t xml:space="preserve">UAE GCC Draft of Technical Regulation for “Trans Fatty Acids". (4 pages Arabic &amp; English)  </t>
  </si>
  <si>
    <t>This draft technical regulation is applies to the maximum amount allowed for trans fatty acid and declaring the trans fatty acid on the nutrition label per serving. The regulations specify the definitions of the product  and the quality requirements  sampling  methods of testing  and labelling.</t>
  </si>
  <si>
    <t>ICS: 67.040</t>
  </si>
  <si>
    <t>G/TBT/N/SLV/186</t>
  </si>
  <si>
    <t xml:space="preserve">Reglamento Técnico Salvadoreño RTS 13.02.01:14 Agua. Agua de consumo humano. requisitos de calidad e inocuidad (20 páginas  en español)  </t>
  </si>
  <si>
    <t xml:space="preserve"> ICS codes: 13.060.20 </t>
  </si>
  <si>
    <t>G/TBT/N/TUR/82</t>
  </si>
  <si>
    <t>Analysis Methods for Distilled Spirit Drinks Communiqué (68 pages  in Turkish)</t>
  </si>
  <si>
    <t>The purpose of this Communiqué is to establish the methods for carrying out the sampling and analysis for the official control of distilled spirit drinks.It also establishes the performance criteria with which the method of analysis used for official control has to be complied.</t>
  </si>
  <si>
    <t xml:space="preserve">Distilled spirit drinks </t>
  </si>
  <si>
    <t>Czech Republic</t>
  </si>
  <si>
    <t>G/TBT/N/CZE/200</t>
  </si>
  <si>
    <t>Draft implementing decree on radiation protection and security of radionuclide sources (319 pages  in English  307 pages  in Czech)</t>
  </si>
  <si>
    <t>Based on the authorising provisions in Act No 263/2016  the draft implementing decree governs:• the list of changes influencing radiation protection  radiation situation monitoring and emergency management of a category III workplace and category IV workplace • a list of&amp;nbsp construction materials • samples of registration applications • a list and content of the documentation for the activity to be registered • requirements for the content of documentation for licensed activities • a list of quantities and facts relevant to radiation protection • the scope  method and time of monitoring  measuring  assessing  reviewing and recording of quantities and facts relevant to radiation protection and the period for which the information thereon needs to be kept • the scope  method of and deadlines for the delivery of information on quantities and facts important &amp;nbsp for radiation protection to the State Office for Nuclear Safety • the scope  method and duration for which recorded documents on sources of ionising radiation shall be archived  and the deadlines for their delivery to the State Office for Nuclear Safety • exposure of a patient considered to be erroneous for the purposes of defining a radiological event • radionuclide activity at which a sealed radionuclide source is a high-activity source • criteria for classifying sources of ionising radiation into categories • the method of classification of radionuclide sources in security categories • the criteria for classifying workplaces in the appropriate category • the rules for classifying staff into category A or B • exposure limit values and the method of managing them • reference levels • the method of application of the reference levels • procedures used when optimising radiation protection  including the method of determining the dose optimisation limits • the value and method of application of the exemption level • the scope and frequency of tests performed pursuant to § 68(1)(f) of the Atomic Act • the scope and frequency of operating stability tests performed by registered persons • the rules for determining the scope and frequency of operating stability tests performed by licence holders • the persons performing operating stability tests • the persons ensuring the fulfilment of the obligations under § 68(1)(g) of the Atomic Act • the evaluation procedure of operating stability tests and the method of dealing with the results thereof  including the method and duration for which the results are to be kept • the criteria for evaluating long-term stability testing and the rules for eliminating defects detected by this testing  and the method of setting a deadline for the removal of these defects • the scope and content of information provided under § 68(1)(n) of the Atomic Act and the method of providing said information • the scope and method of continuous training for exposed workers  the method of verifying their knowledge and the frequency and method of documenting continuous training • the scope and method of radiation protection assurance for the activity performed • the types of sources of ionising radiation for which inventory checks shall be performed  the scope  method and frequency of inventory checks and the scope of results to be forwarded to the State Office for Nuclear Safety • the methods of evidencing leak tightness of sealed radionuclide sources • a list of changes connected with radiation protection  radiation situation monitoring and handling of radiological emergencies at a workplace with a source of ionising radiation • the scope and method of documenting and reporting to the State Office for Nuclear Safety modifications related to radiation protection  radiation situation monitoring and radiological emergency management in a workplace with a source of ionising radiation • the scope and method of completing the decommissioning of a category III workplace or a category IV workplace • the job description of the person responsible for radiation protection of the registered person • the procedures for ensuring radiation protection by registered persons when using sources of ionising radiation • the scope and method of retaining records on sources of ionising radiation and forwarding them to the State Office for Nuclear Safety • the scope and method of performance of the activities of a supervising person • the category of exposed workers in the case of a supervising person • the scope and method of performance of the activities of a person directly supervising radiation protection • the method of classifying persons directly supervising radiation protection in the categories of exposed workers • the scope and method of performing activities by a specialised radiation protection unit ensuring continuous surveillance of radiation protection at an energy-generating nuclear installation • the scope and method of delineating a controlled area • the scope of restrictions on entry into the controlled area • the conditions for the performance of work in a controlled area • the requirements for documenting the operation of a controlled area • requirements regarding the documents connected with the operation of a controlled area • the scope and method of delineating a supervised area • the method of radiation protection assurance in a supervised area • the requirements for documenting the operation of a supervised area • the conditions for the safe operation of a workplace with a source of ionising radiation with regard to the type of the source of ionising radiation • the clearance level for workplaces in which activities involving radiation are conducted  and the conditions under which they are considered exceeded • the scope and method of delineating a supervised area in a temporary workplace • the method of assurance of radiation protection of the general public  workers and the area surrounding the temporary workplace • the scope and method of reporting to the State Office for Nuclear Safety the performance of activities in a emporary workplace • requirements connected with personal monitoring of a radiation&amp;nbsp protection officer • the procedures for evaluation of the quantities measured in the context of monitoring • the rules for equipping exposed workers of category A with personal dosimeters and the handling thereof  as well as the duration of their evaluation • the way in which the results of personal monitoring are provided to a radiation&amp;nbsp protection officer • the rules for issuing individual radiological monitoring documents  the deadline for the submission of applications and the validity duration for said documents • the rules for handling the individual radiological monitoring document • a specimen of the individual radiological monitoring document for outside workers • the scope and method of updating the information in the individual radiological monitoring document • the rules for the appointment of a representative person and the medical assessment of his/her radiation exposure • the content of the optimisation study for establishing the authorised limit of exposure of the representative person • the content of records on non-medical exposure kept by the licence holder and by the registered person • the national diagnostic reference levels • the content of records under § 84(4) and (5) of the Atomic Act • the scope and method of transmitting data on determining the distribution of medical exposure doses among the general public • the requirements for sources of ionising radiation used in medical exposure and workplace equipment for x-ray diagnostics and radiotherapy • the method of therapeutic or diagnostic application of radionuclides • the conditions for the release of a patient after therapeutic or diagnostic application of radionuclides • the cases in which patients shall be provided with written instructions on safe behaviour after therapeutic or diagnostic application of radionuclides • the classification of radiological events according to their seriousness and the procedures in case of their occurrence • the procedures for the&amp;nbsp case of a radiological&amp;nbsp event or a case in which a radiological&amp;nbsp event could have arisen had the causes not been detected and eliminated in good time • the period for which the records of investigations and records of the measures taken under § 87(3) shall be retained  as well as the content thereof • the scope and the period for the provision of information about serious radiological events • the radiation protection assurance requirements for mining  treating or processing radioactive minerals • the method of identifying and marking a high-activity source and its accessories • a list of workplaces using a material with increased content of natural radionuclides • the method  scope and frequency of the measurements to determine workers’ individual doses  the method of establishing workers’ individual doses and the scope and method of recording-keeping of workers’ individual doses • the scope and content of information about the workplace to be reported to the State Office for Nuclear Safety  including the identification data of the operator of the workplace and the frequency &amp;nbsp with which said information is reported • the level which  when exceeded  radiation protection optimisation shall be ensured in workplaces using materials with an increased content of natural radionuclide • the scope  method and frequency of measurements and evaluation of the radionuclide content of a radioactive substance discharged from the workplace • the method of record-keeping of the results of the measurements of the radionuclide content of radioactive substances discharged from the workplace  and the frequency with which said results are reported to the State Office for Nuclear Safety • the content of internal regulations for the management of radioactive substances discharged from the workplace • the clearance level for workplaces with potentially increased exposure to a natural source of radiation  and the onditions under which they are considered exceeded • the conditions for classifying workplaces located on an underground or first ground floor of a building as workplaces with potentially increased exposure to radon • the scope  method and frequency of performing the measurements to establish the effective doses to workers in the workplace  and the rules for establishing a worker's effective dose • the scope  method and duration of performing the measurements to establish the effective doses to workers in the workplace • the scope and content of the information about the workplace to be reported to the State Office for Nuclear Safety  including the identification data of the operator of the workplace and the frequency with which said information is reported to the State Office for Nuclear Safety • the method of determining the building site radon index • the criteria for the preparation and evaluation of measures intended to reduce the level of indoor exposure to natural sources of radiation • the level of annual average radon activity concentration in the air which  when exceeded  owners of buildings with residential rooms or rooms intended to be occupied by persons shall take measures reducing the level of exposure • maximum permissible value of radon activity concentration in drinking water for public use and for making bottled water available on the market • the reference level for natural radionuclide content in drinking water for public use and for making bottled water available on the market • the scope  frequency and method of systematic measurement and evaluation of the natural radionuclide content of water • the scope and method of record-keeping of the results of measurements and other data  including the identification data of a water supplier and a producer and supplier of bottled water  and the frequency with which said results are reported to the State Office for Nuclear Safety • the reference level for construction materials • the method of calculating and the value of the activity concentration index for&amp;nbsp construction materials • the scope and method of systematic measurement and evaluation of the natural radionuclide content of building materials • the scope and method of record-keeping of the results of measurements and other data  including the identification data of a producer and supplier of&amp;nbsp construction materials  and the frequency with which said results are reported to the State Office for Nuclear Safety • the conditions for the introduction and withdrawal of  and the requirements for  protective action • the method of informing emergency workers about the risks associated with response actions and the method of providing evidence of voluntary participation in a response action • basic characteristics of personal protective equipment and accessories for emergency workers • the period for which the records and data referred to in § 104(5)(a)  (b)  (c) and (g) of the Atomic Act shall be retained • the scope and time of forwarding to the State Office for Nuclear Safety of the data on the magnitude of exposure in response actions obtained from individual monitoring • the requirements regarding the method of ensuring security of radionuclide sources  including radionuclide sources of security categories 1 to 3.</t>
  </si>
  <si>
    <t>Sources of ionising radiation (including radionuclide sources) and workplace equipment with a source of ionising radiation  Sources of ionising radiation used in healthcare  Construction materials  Drinking water (water intended for public supply)</t>
  </si>
  <si>
    <t xml:space="preserve"> ICS codes: 13.280 </t>
  </si>
  <si>
    <t>Mexico</t>
  </si>
  <si>
    <t>G/TBT/N/MEX/311</t>
  </si>
  <si>
    <t xml:space="preserve">Proyecto de norma oficial mexicana "PROY-NOM-012-conagua-2015  Grifería  válvulas y accesorios para instalaciones hidráulicas de agua potable" (Draft Mexican Official Standard PROY-NOM-012-conagua-2015: Taps  cocks  valves and other appliances for hydraulic drinking-water installations) (33 pages  in Spanish) </t>
  </si>
  <si>
    <t xml:space="preserve"> The notified Mexican Official Standard applies to all types of taps  cocks  valves and other appliances for hydraulic drinking-water installations that are manufactured  remanufactured and assembled in  or imported into and marketed in  the United Mexican States. The following are not required to comply with this Standard:  Bib taps (bib cocks or bib valves with unthreaded spouts) for residential water systems  which must comply with Mexican Official Standard NOM-001-CONAGUA-2011  fill and flush valves for toilets  industrial-type valves when used for water not intended for human consumption  and  electrical and electronic devices or control modules accompanying taps  cocks  valves and other appliances  which must be evaluated in accordance with Mexican Official Standards NOM-001-SCFI-1993 or NOM-003-SCFI-2014.  </t>
  </si>
  <si>
    <t xml:space="preserve">Taps  cocks  valves and other appliances for hydraulic drinking-water installations (tariff heading 84.81.80) </t>
  </si>
  <si>
    <t xml:space="preserve"> HS codes: 848180 </t>
  </si>
  <si>
    <t>G/TBT/N/TPKM/228</t>
  </si>
  <si>
    <t>Public Notice under the Commodity Inspection Act (2 pages  in English  2 pages  in Chinese)</t>
  </si>
  <si>
    <t>The safety for drinking water faucet products is highly concerned in Taiwan  especially in terms of the content of lead. In order to enhance the protection for consumer  the BSMI intends to regulate the inspection requirements for drinking water faucet products. The conformity assessment plan for all such products will be under the inspection scheme of the Registration of Product Certification or the Type Approved Batch Inspection.</t>
  </si>
  <si>
    <t>Drinking water faucet (Refer to attachment)</t>
  </si>
  <si>
    <t xml:space="preserve"> HS codes: 848110 </t>
  </si>
  <si>
    <t>G/TBT/N/ARE/301#G/TBT/N/BHR/428#G/TBT/N/KWT/311#G/TBT/N/OMN/240#G/TBT/N/QAT/425#G/TBT/N/SAU/912#G/TBT/N/YEM/31</t>
  </si>
  <si>
    <t>The Cooperation Council for the Arab States of the Gulf Draft Technical Regulation for "Requirements of Handling Energy Drinks" (8 pages  in Arabic)</t>
  </si>
  <si>
    <t>This draft technical regulation applies to the basic requirements of handling energy drinks  definitions  requirements  sampling  methods of tests  packaging  transportation  storage  display and labelling.</t>
  </si>
  <si>
    <t>Energy drinks (ICS: 67.160)</t>
  </si>
  <si>
    <t xml:space="preserve">The Cooperation Council for the Arab States of the Gulf Draft Technical Regulation for "Requirements of Handling Energy Drinks" (8 pages  in Arabic) </t>
  </si>
  <si>
    <t>G/TBT/N/TUR/75</t>
  </si>
  <si>
    <t>Communiqué on Conformity Inspection of Some Consumer Products  (3 pages  in English  3 pages  in Turkish)</t>
  </si>
  <si>
    <t>The Draft Communiqué specifies the standards that will be considered about the conformity (the product meets essential requirements or not) of the products that are stated in the annex.The current legislation for some of the products (soothers  baby bottles  toothbrushes) covered by this Communiqué need to be updated. Also this Communiqué aims to specify minumum requirements for the covered consumer products through EN standards.&amp;nbsp This Communiqué needs to be publicated in a shortest period of time because the current legislation for some products covered (soothers  baby bottles  tootbrushes) needs urgently to be updated for safety purposes. Also  the Communiqué covers product types being marketed especially to the most sensitive/critical consumer type: children/baby.</t>
  </si>
  <si>
    <t>Consumer products covering children's high chairs  bicycles for young children  children's cots and folding cots for domestic use  manual toothbrushes  powered toothbrush  lighters  soothers for babies and young children  drinking equipment  seating and tables for camping  domestic and contract use  internal blinds  buoyant aids for swimming instruction   city and trekking-young adult- mountain and racing bicycles.</t>
  </si>
  <si>
    <t>G/TBT/N/TUR/71</t>
  </si>
  <si>
    <t>Turkish Food Codex Communiqué on Spirit Drinks (40 pages  in Turkish)</t>
  </si>
  <si>
    <t>This Communiqué sets out general rules on the definition and specifications of spirit drinks.</t>
  </si>
  <si>
    <t>Spirit drinks (HS Code: 2203-2208)</t>
  </si>
  <si>
    <t xml:space="preserve"> HS codes: 2203  2207  2208  2204  2206  2205 </t>
  </si>
  <si>
    <t>G/TBT/N/ARE/299#G/TBT/N/BHR/426#G/TBT/N/KWT/309#G/TBT/N/OMN/238#G/TBT/N/QAT/423#G/TBT/N/SAU/910#G/TBT/N/YEM/29</t>
  </si>
  <si>
    <t>The Cooperation Council for the Arab States of the Gulf Draft Technical Regulation for "Requirements of Handling Energy Drinks" (5 pages  in Arabic)</t>
  </si>
  <si>
    <t xml:space="preserve"> ICS codes: 67.160 </t>
  </si>
  <si>
    <t>Zambia</t>
  </si>
  <si>
    <t>G/TBT/N/ZMB/48</t>
  </si>
  <si>
    <t>Drinking Water Quality - Specification (9 pages  in English)</t>
  </si>
  <si>
    <t>Prescribes requirements for potable drinking water suitable for human consumption..</t>
  </si>
  <si>
    <t>G/TBT/N/ARE/282#G/TBT/N/BHR/410#G/TBT/N/KWT/293#G/TBT/N/OMN/222#G/TBT/N/QAT/407#G/TBT/N/SAU/877#G/TBT/N/YEM/13</t>
  </si>
  <si>
    <t xml:space="preserve">The Cooperation Council for the Arab States of the Gulf Technical Regulation for Electrolyte Drinks (Sports Drinks) (7 pages  in English  9 pages  in Arabic) </t>
  </si>
  <si>
    <t>This draft technical regulation is concerned with sports drinks and the base of sports drinks.</t>
  </si>
  <si>
    <t xml:space="preserve">Electrolyte drinks (sports drinks) (ICS: 67.160) </t>
  </si>
  <si>
    <t>The Cooperation Council for the Arab States of the Gulf Technical Regulation for Electrolyte Drinks (Sports Drinks) (7 pages  in English  9 pages  in Arabic)</t>
  </si>
  <si>
    <t>G/TBT/N/USA/1005</t>
  </si>
  <si>
    <t>Food Additives Permitted in Feed and Drinking Water of Animals  Gamma-Linolenic Acid Safflower Meal (3 pages  in English)</t>
  </si>
  <si>
    <t>The Food and Drug Administration (FDA or the Agency) is amending the regulations for food additives permitted in feed and drinking water of animals to provide for the safe use of seed meal from a variety of bioengineered safflower in cattle and poultry feeds. This action is in response to a food additive petition filed by Arcadia Biosciences  Inc.</t>
  </si>
  <si>
    <t>Animal feed and drinking water additives</t>
  </si>
  <si>
    <t xml:space="preserve"> ICS codes: 65.120 </t>
  </si>
  <si>
    <t>G/TBT/N/THA/460</t>
  </si>
  <si>
    <t>Draft Ministerial Regulation on High Energy Efficiency of Electric Water Cooler and Water Heater/Cooler for Drinking Water Storage B.E. ... (3 pages  in Thai)</t>
  </si>
  <si>
    <t>Under Energy Conservation Promotion Act (ENCON ACT) B.E. 2535(1992) and B.E. 2550 (2007)  High Energy Performance Standards (HEPS) of machines equipments and materials for energy conservation have been setted up and implemented.&amp;nbsp  HEPS of electric water cooler and water heater/cooler for drinking water storage is the electricity consumption in one day.&amp;nbsp  Draft Ministerial Regulationof HEPS for electric water cooler and water heater/cooler for drinking water storageis being processed to be law and High Energy Efficiency Labeling will be provided for consumers information in order to encourage and promote high energy efficiency of electric water cooler and water heater/cooler for drinking water storageutilization for energy conservation target and policy in Thailand.</t>
  </si>
  <si>
    <t>Electric Water Cooler and Water Heater/Cooler for Drinking Water Storage (HS:  8418  8516  ICS:  97.040)</t>
  </si>
  <si>
    <t xml:space="preserve"> HS codes: 8516  8418 </t>
  </si>
  <si>
    <t>G/TBT/N/DNK/97</t>
  </si>
  <si>
    <t>Executive Order on the Authorization of Construction Products in Contact with Drinking Water (9 pages  in Dansk)</t>
  </si>
  <si>
    <t>The Executive Order is an amendment to the existing Executive Order no 31 of 21 January 2013. The amendment is made by revoking the original Executive Order no 31 of 21 January 2013 and introducing the new executive order. The main content is the same as the existing one and is described below as well as the actual changes.General information on the Executive Order – unchanged to the previous no. 31 of 21 January 2013:The Executive Order stipulates that construction products in contact with drinking water must be tested  authorized and labelled prior to the marketing of the products in Denmark. In Denmark  such requirements have existed since 1972. The Executive Orders stipulate that construction products in contact with drinking water must be tested for the release of lead  cadmium  nickel and other substances posing a health risk. To that end  the purpose of the requirements is to ensure the quality of drinking water at the consumer's tap.The Executive Order no. 31 of 21 January 2013 was notified in 2012. Later on there has been two amendments that have been considered not necessary to notify as the changes were not notable. The existing executive order is now subject to a revision.The amendments are (the amendments are also shown in yellow in the attached draft of the Executive Order):·&amp;nbsp &amp;nbsp &amp;nbsp &amp;nbsp &amp;nbsp &amp;nbsp &amp;nbsp &amp;nbsp &amp;nbsp &amp;nbsp &amp;nbsp &amp;nbsp &amp;nbsp &amp;nbsp &amp;nbsp  certain requirements to the tests are being removed as they are not necessary for the purpose of the order ·&amp;nbsp &amp;nbsp &amp;nbsp &amp;nbsp &amp;nbsp &amp;nbsp &amp;nbsp &amp;nbsp &amp;nbsp &amp;nbsp &amp;nbsp &amp;nbsp &amp;nbsp &amp;nbsp &amp;nbsp  certain components in products consisting of combined materials are excluded from the requirement of authorization ·&amp;nbsp &amp;nbsp &amp;nbsp &amp;nbsp &amp;nbsp &amp;nbsp &amp;nbsp &amp;nbsp &amp;nbsp &amp;nbsp &amp;nbsp &amp;nbsp &amp;nbsp &amp;nbsp &amp;nbsp  smaller components and products do not need to be approved ·&amp;nbsp &amp;nbsp &amp;nbsp &amp;nbsp &amp;nbsp &amp;nbsp &amp;nbsp &amp;nbsp &amp;nbsp &amp;nbsp &amp;nbsp &amp;nbsp &amp;nbsp &amp;nbsp &amp;nbsp  a larger margin in the methods of testing.The purpose of the revision is to clarify and remove unnecessary requirements to get an approval for the products.Therefore  economic operators will benefit from this revision. The requirements solely apply to construction products in contact with drinking water and for such products it is solely the health characteristics of the construction products  which are covered by the requirements.</t>
  </si>
  <si>
    <t>Construction products in contact with drinking water</t>
  </si>
  <si>
    <t>G/TBT/N/UGA/455</t>
  </si>
  <si>
    <t>FDUS EAS 12:2014  Potable Water - Specification (25 pages  in English)</t>
  </si>
  <si>
    <t>This final draft Uganda Standard specifies requirements and methods of sampling and test for potable water (treated potable water and natural potable water).</t>
  </si>
  <si>
    <t>G/TBT/N/UGA/454</t>
  </si>
  <si>
    <t>FDUS EAS 13:2014  Packaged Natural Mineral Water - Specification (37 pages  in English)</t>
  </si>
  <si>
    <t>This final draft Uganda Standard specifies requirements and methods of sampling and test for packaged natural mineral water offered for human consumption.</t>
  </si>
  <si>
    <t>G/TBT/N/UGA/453</t>
  </si>
  <si>
    <t>FDUS EAS 153:2014  Packaged Drinking Water - Specification (25 pages  in English)</t>
  </si>
  <si>
    <t>This final draft Uganda Standard specifies requirements and methods of sampling and test for packaged drinking water for direct consumption.</t>
  </si>
  <si>
    <t>G/TBT/N/SAU/828</t>
  </si>
  <si>
    <t xml:space="preserve">The Kingdom of Saudi Arabia / The Cooperation Council for the Arab States of the Gulf Draft Technical Regulation for "Karkade Drink" (4 pages  in English  6 pages  in Arabic) </t>
  </si>
  <si>
    <t>This draft technical regulation applies to basic requirements and standards for karkade drink intended for human consumption.</t>
  </si>
  <si>
    <t>Karkade drink (ICS: 67.160)</t>
  </si>
  <si>
    <t>G/TBT/N/TPKM/189</t>
  </si>
  <si>
    <t>Draft of the Requirements on the Minimal Energy Performance Standard and Energy Efficiency Rating Labeling and Inspection of Warm-Hot Drinking Water Dispensers (five pages in Chinese  English translation available)</t>
  </si>
  <si>
    <t>With a view to enhancing the efficiency of energy use  the Bureau of Energy intends to set up the minimum energy efficiency requirements for Warm-Hot Drinking Water Dispensers to reduce heat loss. Test methods of the proposed minimum energy efficiency requirements would be based on related national standards.</t>
  </si>
  <si>
    <t>Warm-Hot Drinking Water Dispensers (CCCN 8516.10)</t>
  </si>
  <si>
    <t xml:space="preserve"> HS codes: 851610 </t>
  </si>
  <si>
    <t>G/TBT/N/TPKM/186</t>
  </si>
  <si>
    <t>Draft of the Requirements on the Minimal Energy Performance Standard and Energy Efficiency Rating Labeling and Inspection of Chilled-Warm-Hot Drinking Water Dispensers (5 pages  in Chinese  English translation available)</t>
  </si>
  <si>
    <t>With a view to enhancing the efficiency of energy use  the Bureau of Energy intends to set up the minimum energy efficiency requirements for Chilled-Warm-Hot Drinking Water Dispensers to reduce heat loss. A period ranging from one year will be allowed for manufacturers to adapt to the proposed requirements. Test methods of the proposed minimum energy efficiency requirements would be based on related national standards.</t>
  </si>
  <si>
    <t>Chilled-warm-hot drinking water dispensers (CCCN 8516.10)</t>
  </si>
  <si>
    <t>G/TBT/N/TUR/58</t>
  </si>
  <si>
    <t>Turkish Food Codex Communiqué on Energy Drinks   (3 pages  in Turkish).</t>
  </si>
  <si>
    <t>The purpose of this Communiqué is to determine definition  product features  labelling as well as control criteria for energy drinks.</t>
  </si>
  <si>
    <t>Energy Drinks</t>
  </si>
  <si>
    <t>G/TBT/N/BHR/372</t>
  </si>
  <si>
    <t>Karkade drink (4 pages  in English  8 pages  in Arabic)</t>
  </si>
  <si>
    <t xml:space="preserve">This draft technical regulation specifies the requirements stated in the Gulf standard GSO " Karkade Drink" under clauses 7.1 &amp;amp  8 (packaging &amp;amp  labeling) as mandatory requirements. The packaged beverage containers should be in suitable clean sound court lock and the way in which to protect it from pollution and the preservation of its properties.It also describes following label requirements such as:1. The labeling should be without prejudice to the provisions of Gulf standard GSO&amp;nbsp  9 “Labeling of prepackaged foods”.2. Labelling and adjoining explanatory statements shall be in written in Arabic and any other language. All the information provided in another language shall be identical with those written in Arabic.3. The following shall be declared on the label of the product:• Product name  address and trademark  if any• Category name• Statement of ingredients and feed additives• Instructions for use  if any.• Conditions of storage and handling  if any&amp;nbsp  </t>
  </si>
  <si>
    <t>Karkade drinks (ICS: 67.160.00)</t>
  </si>
  <si>
    <t>G/TBT/N/SAU/789</t>
  </si>
  <si>
    <t>Council of Ministers' Decree No. 176 dated 3/3/2014 Laying Down the Procedures Limiting the Harmful Effects of Energy Drinks (3 pages  in Arabic)</t>
  </si>
  <si>
    <t xml:space="preserve">Requirements of handling energy drinks  advertisement  storage and labelling. </t>
  </si>
  <si>
    <t>Energy drinks</t>
  </si>
  <si>
    <t>G/TBT/N/QAT/361</t>
  </si>
  <si>
    <t>Karkade Drink (4 pages  in English  8 pages  in Arabic)</t>
  </si>
  <si>
    <t>This draft technical regulation is concerned&amp;nbsp  with requirements for basic requirements and standards for karkade drink intended for human consumption. Testing methods  packaging and storage.</t>
  </si>
  <si>
    <t>Karkade drink (ICS 67:160)</t>
  </si>
  <si>
    <t>G/TBT/N/RUS/37</t>
  </si>
  <si>
    <t>Technical Regulation of the Customs Union "On Safety of Drinking Water Packed in Containers" (108 pages  in Russian)</t>
  </si>
  <si>
    <t>Draft technical regulation of the Customs Union "On safety of drinking water packed in containers" establishes requirements to drinking water packed in containers for the purposes of human life and health protection and prevention of customers’ deception.</t>
  </si>
  <si>
    <t>Drinking water packed in containers</t>
  </si>
  <si>
    <t>G/TBT/N/OMN/163</t>
  </si>
  <si>
    <t xml:space="preserve">Unbottled Drinking Water (10 pages  in English  14 pages  in Arabic)    </t>
  </si>
  <si>
    <t>This Omani/Gulf draft technical regulation is concerned with unbottled drinking water suitable for human consumption. Items related to characteristics&amp;nbsp (items 5) are compulsory.&amp;nbsp The remaining items are voluntary.</t>
  </si>
  <si>
    <t>Unbottled drinking water (ICS Code: 67.160.20)</t>
  </si>
  <si>
    <t>G/TBT/N/EU/219</t>
  </si>
  <si>
    <t>Draft Commission Implementing Regulation amending Annexes II and III to Regulation (EC) No 110/2008 of the European Parliament and of the Council of 15 January 2008 on the definition  description  presentation  labelling and the protection of geographical indications of spirit drinks (4 pages  in English)</t>
  </si>
  <si>
    <t>This draft Regulation modifies Regulation (EC) No 110/2008 for the inclusion of the new category of spirit drink "sloe-aromatised spirit drink or Pacharán".</t>
  </si>
  <si>
    <t>Spirit drinks</t>
  </si>
  <si>
    <t>G/TBT/N/OMN/154</t>
  </si>
  <si>
    <t xml:space="preserve">Bottled drinking water (13 pages  in English  19 pages  in Arabic)    </t>
  </si>
  <si>
    <t>This Omani/Gulf draft technical regulation concerns with bottled drinking water fit for human consumption  and not include natural mineral water. Items related to characteristics  packaging and labelling (items  5  8 and 9) are compulsory. The remaining items are voluntary.</t>
  </si>
  <si>
    <t>Bottled drinking water</t>
  </si>
  <si>
    <t>G/TBT/N/BHR/340</t>
  </si>
  <si>
    <t>Unbottled drinking water (10 pages in English  14 pages in Arabic).</t>
  </si>
  <si>
    <t>Unbottled drinking water (ICS: 67.160.20)</t>
  </si>
  <si>
    <t>G/TBT/N/BHR/339</t>
  </si>
  <si>
    <t>Bottled drinking water (13 pages in English  19 pages in Arabic).</t>
  </si>
  <si>
    <t>The notified draft technical regulation specifies the mandatory requirements of packaging &amp;amp  labelling which are stated in the document under clauses 8 &amp;amp  9 respectively. They are illustrated as follows:• The bottled drinking water shall be packed in hygienic  clean and hermetically sealed containers made from food-grade materials that would prevent contamination of water and preserve its physical and chemical properties.• In addition to the requirements of the Gulf Standard for Labelling of Pre-packaged Foods  the following provisions apply: The name “bottled drinking water” shall be declared on the label. However  pictures or any health claims that would give wrong impression of the product not be declared on the label. • Water content of the different anions (chloride - sulphate - nitrate -carbonate - bicarbonate -fluoride) and cations (Calcium  magnesium - sodium - potassium   total hardness and total dissolved solids) shall be expressed in ppm.• pH• The net volume in metric system  unit.• Packaged water containing added fluoride shall be labeled "Fluoridated water".• Production and Expiration date. • The labelling and adjoining explanatory statements shall be written in Arabic and  where another language is used  it shall be alongside the Arabic. All the information provided in another language shall be identical with those written in Arabic.</t>
  </si>
  <si>
    <t>Bottled drinking water (ICS: 67.160)</t>
  </si>
  <si>
    <t>G/TBT/N/KWT/221</t>
  </si>
  <si>
    <t xml:space="preserve">Unbottled drinking water (14 pages in Arabic  10 pages in English)  </t>
  </si>
  <si>
    <t>This draft technical regulation is concerned with unbottled drinking water suitable for human consumption  definitions  treatment requirements  characteristics  sampling  methods of test and examination.</t>
  </si>
  <si>
    <t xml:space="preserve">Unbottled drinking water (ICS: 67.160.20)  </t>
  </si>
  <si>
    <t>G/TBT/N/QAT/340</t>
  </si>
  <si>
    <t>Unbottled drinking water ( 14 pages in Arabic   10 pages in English )</t>
  </si>
  <si>
    <t>This draft technical regulation is concerned with unbottled drinking water suitable for human consumption definitions  treatment requirements  characteristics  sampling  methods of test and examination.</t>
  </si>
  <si>
    <t>Unbottled drinking water ( ICS : 67.160.20 )</t>
  </si>
  <si>
    <t>G/TBT/N/TUR/47</t>
  </si>
  <si>
    <t>Turkish Food Codex Communique on Heat Treated Drinking Milk  (6 pages  in Turkish).</t>
  </si>
  <si>
    <t>This Communiqué is to identify the characteristics of the heat treated drinking milk in order to ensure their production  storage  transportation and marketing in compliance with the relevant technical and hygienic conditions.This Communiqué shall cover the pasteurized drinking milk  heat-treated drinking milk following the pasteurisation  UHT drinking milk  sterilized drinking milk.</t>
  </si>
  <si>
    <t>Heat treated drinking milk</t>
  </si>
  <si>
    <t>G/TBT/N/RWA/21</t>
  </si>
  <si>
    <t>Compulsory Rwandan Standards (RS) concerning&amp;nbsp  beverages and drinking waters</t>
  </si>
  <si>
    <t xml:space="preserve">Beverages: Containerized mineral water  Potable Water  Concentrated Passion fruit juice preserved exclusively by physical means   Fruits nectars  Fruits squashes  Fruit Flavoured Drinks  Fruits flavoured drink in solid form  Fruit-based soft drinks-specification  Part 1:Soft drinks with Fruit Juice  Fruit-based soft drinks-specification Part 2:Comminuted fruit based soft drinks  Health drinks Part 1: Vitamin C-based health drinks  Energy Drinks Part 1: Ready-to-drink Energy drinks  Glucose based energy drink  Soft Drinks  Carbonated and Non carbonated beverages  Soybean Milk and Drinks    Neutral Spirits for manufacture of alcoholic beverages   Fruit Wines  Gin  Brandy  Whisky   Rum   Vodka  Still table wines Sparkling Wines  Fortified Wines  Beer   </t>
  </si>
  <si>
    <t>G/TBT/N/TPKM/154</t>
  </si>
  <si>
    <t xml:space="preserve">Draft  Regulations Governing the Product Names and Labelling of Prepackaged Fresh Milk  Sterilized Milk  Flavored Milk  Milk Drink  and Milk Powder  (3 page  in Chinese  English translation available) </t>
  </si>
  <si>
    <t xml:space="preserve">Based on Article 22 of the Act Governing Food  Sanitation  the FDA proposed to regulate the labelling of prepackaged  fresh milk  sterilized milk  flavored milk  milk drink   sterilized flavored milk  sterilized  milk drink  milk powder  and modified milk powder product to provide consumers  with adequate information about the content of such products. </t>
  </si>
  <si>
    <t>Prepackaged Fresh Milk  Sterilized Milk  Flavored Milk  Milk Drink  and Milk Powder product</t>
  </si>
  <si>
    <t>Lithuania</t>
  </si>
  <si>
    <t>G/TBT/N/LTU/22</t>
  </si>
  <si>
    <t>Draft law of the Republic of Lithuania amending and supplementing Articles 2  5  7  8  11  12 and 13 of the Law on the management of packaging and packaging waste and the supplementation thereof with Articles 11(1)  12(1)  12(2)  12(3) (7 pages  in Lithuanian and English)</t>
  </si>
  <si>
    <t>The draft lays down the requirement for producers and importers supplying the Lithuanian internal market with products the packaging of which is subject to a deposit to mark said packaging with a logo indicating its inclusion in the deposit system. The logo shall be uniform throughout the territory of the Republic of Lithuania and shall be approved by the Minister for the Environment on the recommendation of the administrator</t>
  </si>
  <si>
    <t xml:space="preserve">The measures will apply to beer  beer cocktails  cider  pear cider  fruit wine  fruit wine cocktails  fruit wine drinks  other fermented drinks  alcoholic cocktails and non-alcoholic drinks (soft drinks  table water  kvass)  natural mineral water  spring water  packaged drinking water  juices and nectars when placed on the Lithuanian internal market and packaged into the following types of disposable packaging with a volume of more than one tenth of a litre but less than three litres of:  1) glass    2) plastic    3) metal.  </t>
  </si>
  <si>
    <t>G/TBT/N/USA/1230</t>
  </si>
  <si>
    <t>Wine Treating Materials and Related Regulations (20 pages  in English)</t>
  </si>
  <si>
    <t>The Alcohol and Tobacco Tax and Trade Bureau (TTB) is proposing to amend its regulations pertaining to the production of wine and in particular in regard to the permissible treatments that may be applied to wine and to juice from which wine is made. These proposed amendments are in response to requests from wine industry members to authorize certain wine treating materials and processes not currently authorized by TTB regulations. TTB invites comments on the proposed regulatory changes described in this document  as well as on other wine treatment issues for which regulatory amendments are not proposed in this document.</t>
  </si>
  <si>
    <t>Wine</t>
  </si>
  <si>
    <t xml:space="preserve"> ICS codes: 67.160  HS codes: 2204 </t>
  </si>
  <si>
    <t>G/TBT/N/USA/1225</t>
  </si>
  <si>
    <t>Proposed Addition of New Grape Variety Names for American Wines (11 pages  in English)</t>
  </si>
  <si>
    <t>The Alcohol and Tobacco Tax and Trade Bureau (TTB) proposes to amend its wine labeling regulations by adding a number of new names to the list of grape variety names approved for use in designating American wines. TTB also proposes to remove one existing entry and replace it with a slightly different name  and to correct the spelling of another existing entry. The proposed amendments would allow wine bottlers to use these additional approved grape variety names on wine labels and in wine advertisements.</t>
  </si>
  <si>
    <t>Wine labeling</t>
  </si>
  <si>
    <t xml:space="preserve"> ICS codes: 67.080  67.160  HS codes: 2204 </t>
  </si>
  <si>
    <t>G/TBT/N/KEN/509</t>
  </si>
  <si>
    <t>DKS 65:2016 Black Tea - Specification (8 pages  in English)</t>
  </si>
  <si>
    <t>The Standard specifies requirements and methods sampling and test of black tea of the species Camellia sinensis (Linneaus) O. Kuntze. This standard does not apply to flavoured teas and decaffeinated black teas.</t>
  </si>
  <si>
    <t xml:space="preserve"> ICS codes: 67.160.01 </t>
  </si>
  <si>
    <t>G/TBT/N/UGA/593</t>
  </si>
  <si>
    <t>DUS 1653:2016  Dairy Based Beverages - Specification (16 pages  in English)</t>
  </si>
  <si>
    <t>This Draft Uganda standard specifies the requirements and the methods of sampling and test for dairy based beverages.</t>
  </si>
  <si>
    <t>Dairy based beverages</t>
  </si>
  <si>
    <t>G/TBT/N/BRA/689</t>
  </si>
  <si>
    <t>Draft Ordinance Nº 90  23 August 2016  (3 pages  in Portuguese)</t>
  </si>
  <si>
    <t xml:space="preserve">Draft technical regulation to set administrative requirements and procedures for the aging/maturation control in wooden barrels containers for the alcoholic beverages  wines and wine and grape derivatives products applicable for production purposes  standardization  inventory  labelling  etc.&amp;nbsp </t>
  </si>
  <si>
    <t>HS 22 - Alcoholic beverages</t>
  </si>
  <si>
    <t xml:space="preserve"> HS codes: 22 </t>
  </si>
  <si>
    <t>G/TBT/N/VNM/86</t>
  </si>
  <si>
    <t>Draft Decree on Alcohol Trading (83 pages  in Vietnamese)</t>
  </si>
  <si>
    <t>This draft Decree prescribes alcohol trading activities  including: production  import  distribution  wholesale and retail of alcohol  the sale of alcohol for on-site consumption. This draft Decree does not apply to:a) Export  temporary import for re-export  temporary export for re-import  tranship  transit b) Alcohol import for sale at duty-free shops c) Alcohol imported into nontariff areas  alcohol trading among nontariff areas  alcohol trading activities in nontariff areas  including storing in bonded warehouse d) Imported alcohol in forms of luggage  gifts  samples within duty-free limit under regulation of Government and Prime Minister.This draft Decree  as soon as it enters into force  shall replace Decree No. 94/2012/ND-CP dated 12 November 2012 on alcohol production and trading  which was previously notified by G/TBT/N/VNM/19 of 1 August 2012 and G/TBT/N/VNM/19/Add.1 of 1 March 2013. Licenses and certificates issued under Decree No. 94/2012/ND-CP  if still in their validity period  are not required to be renewed. Otherwise  renewal must be done under the new proposed Decree.</t>
  </si>
  <si>
    <t>Alcohol</t>
  </si>
  <si>
    <t xml:space="preserve"> HS codes: 2206  2204  2205  2207  2208 </t>
  </si>
  <si>
    <t>G/TBT/N/CRI/161</t>
  </si>
  <si>
    <t>RTCR 471: 2014 Alimentos y Bebidas procesadas. Aguas Envasadas. Especificaciones. (11 páginas  en español)</t>
  </si>
  <si>
    <t>El objetivo de este reglamento es establecer los requisitos físicos  químicos  microbiológicos y radiológicos que debe cumplir el agua envasada destinada para el consumo humano. Asimismo  aplica a todas las aguas minerales y agua potable envasadas en el país o importadas  independiente de su origen (pozo  manantial  abastecimiento público)  que se ofrecen a la venta como alimento en el mercado nacional. Se excluye de este reglamento aquellas aguas mineralizadas carbonatadas o no y aquellas aguas a las cuales se le agrega intencionalmente azúcares  edulcorantes  aromatizantes u otras sustancias alimentarías.</t>
  </si>
  <si>
    <t>67.160.20</t>
  </si>
  <si>
    <t xml:space="preserve"> ICS codes: 67.160.20 </t>
  </si>
  <si>
    <t>G/TBT/N/KEN/483</t>
  </si>
  <si>
    <t>KS EAS 141:2014: Whisky - Specification (4 pages  in English)</t>
  </si>
  <si>
    <t>Specifies the requirements and methods of sampling and test for whisky (whiskey).</t>
  </si>
  <si>
    <t xml:space="preserve"> ICS codes: 67.160.10 </t>
  </si>
  <si>
    <t>G/TBT/N/KEN/480</t>
  </si>
  <si>
    <t>KS EAS 145:2014: Gin - Specification (3 pages  in English)</t>
  </si>
  <si>
    <t>Specifies the requirements and methods of sampling and test for gin.</t>
  </si>
  <si>
    <t>G/TBT/N/KEN/482</t>
  </si>
  <si>
    <t>KS EAS 143:2014: Brandy - Specification (4 pages  in English)</t>
  </si>
  <si>
    <t>Specifies the requirements and method of sampling and test for brandy.</t>
  </si>
  <si>
    <t>G/TBT/N/KEN/481</t>
  </si>
  <si>
    <t>KS EAS 144:2014: Neutral spirit - Specification (4 pages  in English)</t>
  </si>
  <si>
    <t>Specifies the requirements and method of sampling and test for neutral spiritIntended for use in the manufacture or blending of alcoholic beverages.</t>
  </si>
  <si>
    <t>G/TBT/N/KEN/484</t>
  </si>
  <si>
    <t>KS EAS 104:2014: Alcoholic beverages - Methods of sampling and test (63 pages  in English)</t>
  </si>
  <si>
    <t>Prescribes methods of sampling and test for alcoholic beverages.</t>
  </si>
  <si>
    <t>G/TBT/N/KEN/479</t>
  </si>
  <si>
    <t>KS EAS 146:2014: Rum - Specification (4 pages  in English)</t>
  </si>
  <si>
    <t>Specifies the requirements and methods of sampling and test for rum.</t>
  </si>
  <si>
    <t>G/TBT/N/KEN/476</t>
  </si>
  <si>
    <t>KS EAS 139:2014: Fortified wine - Specification (4 pages  in English)</t>
  </si>
  <si>
    <t>Specifies the requirements and methods of sampling and test for fortified wine.</t>
  </si>
  <si>
    <t>G/TBT/N/KEN/475</t>
  </si>
  <si>
    <t>KS EAS 140:2014: Sparkling wine - Specification (4 pages  in English)</t>
  </si>
  <si>
    <t>Specifies the requirements and methods of sampling and test for sparkling wine.</t>
  </si>
  <si>
    <t>G/TBT/N/KEN/474</t>
  </si>
  <si>
    <t>KS EAS 142:2014: Vodka - Specification (3 pages  in English)</t>
  </si>
  <si>
    <t>Specifies the requirements and methods of test and sampling for vodka</t>
  </si>
  <si>
    <t>G/TBT/N/KEN/473</t>
  </si>
  <si>
    <t>KS EAS 63:2014: Beer - Specification (5 pages  in English)</t>
  </si>
  <si>
    <t>Specifies the requirements and methods of sampling and test for beer</t>
  </si>
  <si>
    <t>G/TBT/N/KEN/472</t>
  </si>
  <si>
    <t xml:space="preserve"> KS EAS 61:2014: Opaque beer - Specification  (4 pages  in English)</t>
  </si>
  <si>
    <t>Specifies the requirements and methods of sampling and test for opaque beer. The Standard does not cover stout beer.</t>
  </si>
  <si>
    <t>G/TBT/N/KEN/477</t>
  </si>
  <si>
    <t>KS EAS 138:2014: Still table wine - Specification (5 pages  in English)</t>
  </si>
  <si>
    <t>Specifies the requirements and methods of sampling and test for still table wine prepared from fruits</t>
  </si>
  <si>
    <t>G/TBT/N/USA/1157</t>
  </si>
  <si>
    <t>Proposed Revisions to Wine Labeling and Recordkeeping Requirements (6 pages  in English)</t>
  </si>
  <si>
    <t>The Alcohol and Tobacco Tax and Trade Bureau (TTB) proposes to amend its labeling and recordkeeping regulations in 27 CFR part 24 to provide that any standard grape wine containing 7 percent or more alcohol by volume that is covered by a certificate of exemption from label approval may not be labeled with a varietal (grape type) designation  a type designation of varietal significance  a vintage date  or an appellation of origin unless the wine is labeled in compliance with the standards set forth in the appropriate sections of 27 CFR part 4 for that label information. TTB is also proposing to amend its part 4 wine labeling regulations to include a reference to the new part 24 requirement.</t>
  </si>
  <si>
    <t>G/TBT/N/USA/1156</t>
  </si>
  <si>
    <t>Amendments To Streamline Importation of Distilled Spirits  Wine  Beer  Malt Beverages  Tobacco Products  Processed Tobacco  and Cigarette Papers and Tubes  and Facilitate Use of the International Trade Data System (34 pages  in English)</t>
  </si>
  <si>
    <t xml:space="preserve">In this document  the Alcohol and Tobacco Tax and Trade Bureau (TTB) proposes to amend its regulations governing the importation of distilled spirits  wine  beer and malt beverages  tobacco products  processed tobacco  and cigarette papers and tubes. The proposed amendments are intended to clarify and streamline import procedures  and support the implementation of the International Trade Data System and the filing of import information electronically in conjunction with an electronic import filing with U.S. Customs and Border Protection (CBP). The proposed amendments include providing the option for importers to file import-related data electronically when filing entry or entry summary data electronically with CBP  as an alternative to the current TTB requirements that importers submit paper documents to CBP upon importation. </t>
  </si>
  <si>
    <t>Distilled spirits  wine  beer and malt beverages  tobacco products  processed tobacco  and cigarette papers and tubes</t>
  </si>
  <si>
    <t xml:space="preserve"> ICS codes: 65.160  67.160  HS codes: 2204  2402  24 </t>
  </si>
  <si>
    <t>Ireland</t>
  </si>
  <si>
    <t>G/TBT/N/IRL/2</t>
  </si>
  <si>
    <t>Public Health (Alcohol) Bill 2015 (34 pages  in English)</t>
  </si>
  <si>
    <t>This Bill relates to alcohol products.&amp;nbsp It includes provisions for:minimum unit pricing of alcohol productshealth labelling of alcohol products the regulation of advertising of alcohol productsthe regulation of sponsorship by alcohol companiesstructural separation of alcohol products in mixed trading outletsthe regulation of the sale and supply of alcohol in certain circumstances.The Public Health (Alcohol) bill makes it illegal to sell or advertise for sale  at retail level  alcohol products at a price below a set minimum price of 10 cent per gram of alcohol.&amp;nbsp  The Minister can increase the MUP three years after commencement and every 18 months thereafter  following a review.&amp;nbsp  Labels on alcohol products  websites where alcohol is sold online  documents with kegs or casks must contain health and pregnancy warnings  quantity of grams  energy value and details of an alcohol public health website to be provided by the Health Service Executive (National Health Service).&amp;nbsp  The PHAB provides for the regulation of the content of advertisements  and restrictions in cinema advertising  outdoor advertising  print media  sponsorship by alcohol companies and a prohibition on the sale of alcohol branded children's clothing.The PHAB provides for restrictions on the display and advertisement of alcohol products in mixed trade retail outlets.&amp;nbsp  Mixed trade retailers can only display and advertise alcohol products in:A separate area of the shop and/or behind the counter in a closed storage unitorClosed storage units and/or behind the counter in a closed storage unitThe PHAB provides for the regulation and restriction of certain sales promotions techniques for alcohol products e.g. selling an alcohol product at a reduced price or free of charge on the purchase of another alcohol product  selling alcohol products at a reduced price for a period of time equal to or less than 3 days.</t>
  </si>
  <si>
    <t xml:space="preserve">The Bill relates to the sale  labelling  advertising  marketing  and display of alcohol products: HS 2203  HS 2204  HS 2205  HS 2206  HS 2208  </t>
  </si>
  <si>
    <t xml:space="preserve"> HS codes: 2208  2203  2205  2204  2206 </t>
  </si>
  <si>
    <t>G/TBT/N/ARE/307</t>
  </si>
  <si>
    <t>UAE Control Scheme of Juices and Drinks (12 pages  in Arabic)</t>
  </si>
  <si>
    <t>This draft of UAE Control scheme applies to the juices and nectars drinks&amp;nbsp  including  fruit juices   nectars  juices with milk  flavored artificial drink  flavored artificial drink powders and fruit drink wich is including under the scope of standards mentioned in annex 1 of the scheme.</t>
  </si>
  <si>
    <t>juices and Nectars</t>
  </si>
  <si>
    <t>G/TBT/N/LTU/28</t>
  </si>
  <si>
    <t xml:space="preserve"> The Draft Order of the Minister of Economy Establishing Rules for Labelling Alcoholic Beverages with Graphic Warning About Harmful Effects of Alcohol for Pregnant Women (2 pages  in Lithuanian and 2 pages  in English).</t>
  </si>
  <si>
    <t xml:space="preserve">Draft Order of the Minister of Economy Establishing Rules for Labelling Alcoholic Beverages with Graphic Warning About Harmful Effects of Alcohol for Pregnant Women (hereinafter ? Draft Order) establishes that all units of alcohol beverages prepacked for selling shall carry a graphic warning about the harmful effects of alcohol for pregnant women. Draft Order provides an example of the graphic warning and establishes rules on labelling alcoholic beverages with graphic warnings mentioned above.In Draft Order it is stipulated that graphic warning should be placed on the container of the alcoholic beverage next to the mandatory information  in the background of contrasting colour that it would be clearly seen  not covered by text or other graphic labels.The diameter of the graphic warning shall be not less than 5 mm if the container of alcohol beverage does not exceed 500 ml and 10 mm if the container of alcoholic beverage exceeds 500 ml. Note: there is no obligation to imprint the graphic warning into the label of alcoholic beverage  so the labels might be placed on the containers of alcoholic beverages in any manner (eg. in the format of stickers). Also  the Draft Order is applied to the companies providing alcohol beverages to Lithuanian market  so the labelling might be done by wholesaler. Alcohol beverages that do not meet the requirements set by the Draft order may be sold until their stocks run out if they were provided to market before the entry into force of the Draft order. </t>
  </si>
  <si>
    <t>Alcoholic beverages</t>
  </si>
  <si>
    <t>National security requirements  Protection of Human health or Safety</t>
  </si>
  <si>
    <t>G/TBT/N/MEX/301</t>
  </si>
  <si>
    <t xml:space="preserve">Bebidas alcohólicas  mezcal (partida 2208.90.05  ICS: 67.160.10) </t>
  </si>
  <si>
    <t xml:space="preserve"> ICS codes: 67.160  HS codes: 220890 </t>
  </si>
  <si>
    <t>G/TBT/N/MYS/59</t>
  </si>
  <si>
    <t>Draft Amendment to Regulation 361  Food Regulations 1985: General standard for alcoholic beverage (3 pages  in English)</t>
  </si>
  <si>
    <t>(i)&amp;nbsp &amp;nbsp &amp;nbsp  To prescribe additional labelling requirements for all packages containing alcoholic beverages with regard to health effect of alcoholic beverages.(ii)&amp;nbsp &amp;nbsp  Amendment of age limit for sale of alcoholic beverages from 18 years to 21 years. Alcoholic beverages shall not be sold to any person under the age of 21 years.&amp;nbsp  &amp;nbsp (iii) To prescribe additional requirement to display a signage on health effect of alcoholic beverages and prohibition for sale of alcoholic beverages to any person under the age of 21 years.</t>
  </si>
  <si>
    <t>G/TBT/N/IND/51</t>
  </si>
  <si>
    <t>Draft Food Safety and Standards (Alcoholic Beverages Standards) Regulations  2015 (21 pages  in English)</t>
  </si>
  <si>
    <t>The Draft Food Safety and Standards (Alcoholic Beverages Standards) Regulations  2015 details the Standards of Alcoholic Beverages</t>
  </si>
  <si>
    <t>Alcoholic Beverages</t>
  </si>
  <si>
    <t>G/TBT/N/ARE/293#G/TBT/N/BHR/421#G/TBT/N/KWT/304#G/TBT/N/OMN/233#G/TBT/N/QAT/418#G/TBT/N/SAU/889#G/TBT/N/YEM/24</t>
  </si>
  <si>
    <t xml:space="preserve">The Cooperation Council for the Arab States of the Gulf Draft Technical Regulation for "Concentrates for Carbonated Beverages" (5 pages  in English  7 pages  in Arabic) </t>
  </si>
  <si>
    <t>This draft technical regulation applies to the basic requirements of the concentrates that are used in the manufacture of soft drinks  definitions  requirements  sampling  method of tests  packaging  transportation  storage and labelling.</t>
  </si>
  <si>
    <t>Concentrates for carbonated beverages (ICS: 67.080)</t>
  </si>
  <si>
    <t>This draft technical regulation applies to the basic requirements of the concentrates that are used in the manufacture of soft drinks  definitions  requirements  sampling  method of tests  packaging  transportation  storage and labelling</t>
  </si>
  <si>
    <t>The Cooperation Council for the Arab States of the Gulf Draft Technical Regulation for "Concentrates for Carbonated Beverages" (5 pages  in English  7 pages  in Arabic)</t>
  </si>
  <si>
    <t>G/TBT/N/EGY/93</t>
  </si>
  <si>
    <t xml:space="preserve">Draft Egyptian Standard for Non Alcoholic Barley Drink (12 pages  in Arabic) to supersede ES No. 1765/2006 that has already been mandated by Ministerial Decree No. 130/2005. </t>
  </si>
  <si>
    <t>The Draft Egyptian Standard for Non Alcoholic Barley Drink specifies the essential requirements  descriptive criteria for non alcoholic barley drink and methods of analysis.</t>
  </si>
  <si>
    <t>Non Alcoholic Beverages</t>
  </si>
  <si>
    <t>G/TBT/N/ARE/266#G/TBT/N/BHR/398#G/TBT/N/KWT/279#G/TBT/N/OMN/209#G/TBT/N/QAT/395#G/TBT/N/SAU/857#G/TBT/N/YEM/1</t>
  </si>
  <si>
    <t>Revision article # 5.2.2 of GCC Draft of Technical Regulation for Unbottled drinking water</t>
  </si>
  <si>
    <t>Amendment of Article No. 5.2.2 in the draft of technical regulation of unbottled drinking: the pH ranges of unbottled drinking water should be between 6.5 - 8.5 instead of 6.5 - 8.0  based on the evidence of water quality - the fourth edition issued by the World Health Organization (text as stated in the manual)  which explains that the ideal class for pH is 6.5 - 8.5.</t>
  </si>
  <si>
    <t>Beverages in general (ICS: 67.160.01)</t>
  </si>
  <si>
    <t>Protection of Human health or Safety  Quality requirements  Protection of Human health or Safety  Quality requirements  Protection of Human health or Safety  Quality requirements  Protection of Human health or Safety  Quality requirements  Protection of Human health or Safety  Quality requirements  Protection of Human health or Safety  Quality requirements  Protection of Human health or Safety  Quality requirements</t>
  </si>
  <si>
    <t>G/TBT/N/USA/1024</t>
  </si>
  <si>
    <t>Importation of Distilled Spirits  Wine  Beer  Tobacco Products  Processed Tobacco  and Cigarette Papers and Tubes  Availability of   Pilot Program and Filing Instructions To Test the Collection of Import Data for Implementation of the International Trade Data System (4 pages  in English).</t>
  </si>
  <si>
    <t>The Alcohol and Tobacco Tax and Trade Bureau (TTB) is announcing a pilot program in which importers  Customs and Border Protection (CBP)  and TTB will test  as part of the International Trade Data System (ITDS) project  the electronic collection of import data required by TTB and the transfer of that data through CBP to TTB. TTB is also announcing the availability of and requesting comment on a draft set of instructions that describes how importers of distilled spirits  wine  beer  tobacco products  processed tobacco  or cigarette papers and tubes may file information electronically to meet TTB requirements at the importation of those commodities. The information gathered through the comments on the draft instructions and pilot program and through an evaluation of the pilot program will allow TTB and CBP to refine their implementation of ITDS.</t>
  </si>
  <si>
    <t>Distilled spirits  wine  beer  tobacco products  processed tobacco  or cigarette papers and tubes</t>
  </si>
  <si>
    <t xml:space="preserve"> ICS codes: 65.160  67.160 </t>
  </si>
  <si>
    <t>G/TBT/N/ISR/820</t>
  </si>
  <si>
    <t>SI 1071 - Non-alcoholic beverages (29 pages  in Hebrew).</t>
  </si>
  <si>
    <t>Paragraph 2.3.2 of the existing Mandatory Standard  SI&amp;nbsp 1071  dealing with non-alcoholic beverages &amp;nbsp is now declared voluntary. This paragraph dealing with fruit illustration including the prohibition to present any type of fruit illustration&amp;nbsp on beverage containers  is now voluntary.</t>
  </si>
  <si>
    <t>Non-alcoholic beverages</t>
  </si>
  <si>
    <t xml:space="preserve"> ICS codes: 67.160.20  HS codes: 2009  2202 </t>
  </si>
  <si>
    <t>G/TBT/N/JPN/496</t>
  </si>
  <si>
    <t>Notice on Establishing Labeling Standards for Manufacturing Process and Quality of Wine  etc (6 pages  in English).</t>
  </si>
  <si>
    <t>Easily comprehensible rules for labeling shall be established with respect to information about wine such as ingredients  harvesting area of grapes  and name of the type of grapes.* The rules for labeling  which apply to the wines having been imported into Japan from abroad pursuant to these standards  are the rules concerning the introduction of a space for collective labeling and the rules concerning the indication of the country of origin for the product in the space for collective labeling.</t>
  </si>
  <si>
    <t>G/TBT/N/JPN/495</t>
  </si>
  <si>
    <t xml:space="preserve"> Notice on Establishing Indicating Standards Concerning Geographical Indications for Liquor (6 pages  in English)</t>
  </si>
  <si>
    <t>Revisions such as clarification of the requirements for designation and the establishment of collective labelling method shall be made to the Indicating Standards Concerning Geographical Indications for Liquor.</t>
  </si>
  <si>
    <t>G/TBT/N/ARE/262</t>
  </si>
  <si>
    <t>Draft of UAE GCC Technical Regulation "Recommendation of Handling Formulated Caffeinated beverages" (9 pages  in Arabic)</t>
  </si>
  <si>
    <t>This&amp;nbsp  GCC draft technical regulation is concerned with Recommendation of Handling Formulated Caffeinated beverages  which specifies the definitions of the product  and the quality requirements  sampling  methods of testing  transportation  storage and labelling.</t>
  </si>
  <si>
    <t>G/TBT/N/UGA/469</t>
  </si>
  <si>
    <t>DUS 1598:2015  Spirit-Based Ready to Drink Alcoholic Beverages — Specification (12 pages  in English)</t>
  </si>
  <si>
    <t>This Draft Uganda Standard specifies the requirements and method of sampling and test for Ready to Drink Spirit Based Alcoholic Beverages (RTD).</t>
  </si>
  <si>
    <t>G/TBT/N/USA/964</t>
  </si>
  <si>
    <t>Use of American Viticultural Area Names as Appellations of Origin on Wine Labels (4 pages  in English)</t>
  </si>
  <si>
    <t>The Alcohol and Tobacco Tax and Trade Bureau (TTB) is proposing to amend its regulations to permit the use of American viticultural area names as appellations of origin on labels for wines that would otherwise qualify for the use of the AVA name  except that the wines have been fully finished in a State adjacent to the State in which the viticultural area is located  rather than the State in which the labeled viticultural area is located. The proposal would provide greater flexibility in wine production and labeling while still ensuring that consumers are provided with adequate information as to the identity of the wines they purchase. TTB permits the use of viticultural area names as appellations of origin on wine labels  so that vintners may better describe the origin of their wines and consumers may better identify the wines they may purchase.</t>
  </si>
  <si>
    <t xml:space="preserve">Wine labeling </t>
  </si>
  <si>
    <t>G/TBT/N/UGA/456</t>
  </si>
  <si>
    <t>FDUS 1534:2014  Liqueur — Specification (12 pages  in English)</t>
  </si>
  <si>
    <t>This final draft Uganda Standard specifies the requirements and method of sampling and test for liqueurs.</t>
  </si>
  <si>
    <t>G/TBT/N/BRA/622</t>
  </si>
  <si>
    <t>Draft Ordinance Nº. 5  29 January 2015. It sets the identity and quality standards to diet and low calories drinks (2 pages  in Portuguese)</t>
  </si>
  <si>
    <t>Draft Technical Regulation Establishing the Identity and Quality Standards for Dietary and Low-Calorie Non-Alcoholic Beverages that should have the content of sugars normally added in conventional drink  entirely replaced by low-calorie or non-caloric  natural or artificial sweeteners  among others requirements.</t>
  </si>
  <si>
    <t>HS 2202  sweetened or flavoured  &amp; other non-alcoholic beverages.</t>
  </si>
  <si>
    <t xml:space="preserve"> HS codes: 2202 </t>
  </si>
  <si>
    <t>G/TBT/N/UGA/445</t>
  </si>
  <si>
    <t>FDUS EAS 146:2014  Rum - Specification (13 pages  in English)</t>
  </si>
  <si>
    <t>This final draft Uganda Standard specifies the requirements and methods of sampling and test for rum.</t>
  </si>
  <si>
    <t>G/TBT/N/UGA/444</t>
  </si>
  <si>
    <t>FDUS EAS 142:2014  Vodka - Specification (13 pages  in English)</t>
  </si>
  <si>
    <t>This final draft Uganda Standard specifies the requirements and methods of sampling and test for vodka.</t>
  </si>
  <si>
    <t>G/TBT/N/UGA/443</t>
  </si>
  <si>
    <t>FDUS EAS 145:2014  Gin - Specification (13 pages  in English)</t>
  </si>
  <si>
    <t>This final draft Uganda Standard specifies the requirements and methods of sampling and test for gin.</t>
  </si>
  <si>
    <t>G/TBT/N/UGA/442</t>
  </si>
  <si>
    <t>FDUS EAS 144:2014  Neutral Spirit - Specification (13 pages  in English)</t>
  </si>
  <si>
    <t>This final draft Uganda Standard specifies the requirements and methods of sampling and test for neutral spirit intended for use in the manufacture or blending of alcoholic beverages.</t>
  </si>
  <si>
    <t>G/TBT/N/UGA/441</t>
  </si>
  <si>
    <t>FDUS EAS 143:2014  Brandy  — Specification (13 pages  in English)</t>
  </si>
  <si>
    <t>This final draft Uganda Standard specifies the requirements and methods of sampling and test for brandy.</t>
  </si>
  <si>
    <t>G/TBT/N/UGA/440</t>
  </si>
  <si>
    <t>FDUS EAS 141:2014  Whisky — Specification (13 pages  in English)</t>
  </si>
  <si>
    <t>This final draft Uganda Standard specifies the requirements and methods of sampling and test for whisky (whiskey).</t>
  </si>
  <si>
    <t>G/TBT/N/UGA/439</t>
  </si>
  <si>
    <t>FDUS EAS 140:2014  Sparkling Wine — Specification (13 pages  in English)</t>
  </si>
  <si>
    <t>This final draft Uganda Standard specifies the requirements and methods of sampling and test for sparkling wine.</t>
  </si>
  <si>
    <t>G/TBT/N/UGA/438</t>
  </si>
  <si>
    <t>FDUS EAS 139:2014  Fortified Wine — Specification (13 pages  in English)</t>
  </si>
  <si>
    <t>This final draft Uganda Standard specifies the requirements and methods of sampling and test for fortified wine.</t>
  </si>
  <si>
    <t>G/TBT/N/UGA/437</t>
  </si>
  <si>
    <t>FDUS EAS 138:2014  Still Table Wine — Specification (13 pages  in English)</t>
  </si>
  <si>
    <t>This final draft Uganda Standard specifies the requirements and methods of sampling and test for still table wine prepared from fruits.</t>
  </si>
  <si>
    <t>G/TBT/N/UGA/436</t>
  </si>
  <si>
    <t>FDUS EAS 109:2014  Potable Spirit — Specification (13 pages  in English)</t>
  </si>
  <si>
    <t>This final draft Uganda Standard specifies the requirements and methods of sampling and test for potable spirits.</t>
  </si>
  <si>
    <t>G/TBT/N/UGA/435</t>
  </si>
  <si>
    <t>FDUS EAS 63:2014  Beer — Specification (15 pages  in English)</t>
  </si>
  <si>
    <t>This final draft Uganda Standard specifies the requirements and methods of sampling and test for beer.</t>
  </si>
  <si>
    <t>G/TBT/N/UGA/434</t>
  </si>
  <si>
    <t>FDUS EAS 61:2014  Opaque Beer — Specification (13 pages  in English)</t>
  </si>
  <si>
    <t>This final draft Uganda Standard specifies the requirements and methods of sampling and test for opaque beer. The standard does not cover stout beer.</t>
  </si>
  <si>
    <t>G/TBT/N/ZAF/48/Rev.1</t>
  </si>
  <si>
    <t>Amendment to Regulations Relating to Health Messages on Container Labels of Alcoholic Beverages (2 pages  in English)</t>
  </si>
  <si>
    <t>It prescribes the labelling of alcoholic beverages with health warnings. The purpose is to warn individuals and the community about the harm caused by alcohol abuse.</t>
  </si>
  <si>
    <t xml:space="preserve"> ICS codes: 67.160.10  HS codes: 2208  2206  2207 </t>
  </si>
  <si>
    <t>G/TBT/N/KEN/435</t>
  </si>
  <si>
    <t>DKS 2580 2014 Fruit-Based Soft Drinks with Milk— Specification (6 pages  in English)</t>
  </si>
  <si>
    <t>Specifies requirements and methods of test for fruit based soft drink with milk  intended for direct consumption. It covers all types of flavours of fruit based soft drinks with milk made from a blend of skim milk and fruit juice or fruit juice concentrate  water and other optional ingredients. The product shall be distinguished from fruit squashes  fruit juices and other fruit-based soft drinks through appropriate labelling.</t>
  </si>
  <si>
    <t xml:space="preserve"> ICS codes: 67.080.10  67.160  HS codes: 200980  2009 </t>
  </si>
  <si>
    <t>G/TBT/N/ARE/234</t>
  </si>
  <si>
    <t>Draft of Technical Regulation for Karkade Drink  (4 pages  in English  8 pages  in Arabic)</t>
  </si>
  <si>
    <t>This draft technical regulation is concerned with draft of Technical Regulation for Karkade Drink  which specifies the definitions of the product  and the quality requirements  sampling  methods of testing  transportation  storage and labelling.</t>
  </si>
  <si>
    <t>Beverages (ICS 67.160)</t>
  </si>
  <si>
    <t>G/TBT/N/KEN/421</t>
  </si>
  <si>
    <t>DKS 2564: 2014 Chemicals used for treatment of water intended for human consumption  Chemicals for emergency use  Trichloroisocyanuric acid (24 pages  in English)</t>
  </si>
  <si>
    <t xml:space="preserve">This Kenya Standard is applicable to trichloroisocyanuric acid used for emergency treatment of water intended for human consumption.&amp;nbsp It describes the characteristics of trichlorisocyanuric acid and specifies the requirements and the corresponding test methods for trichloisocyanuric acid. </t>
  </si>
  <si>
    <t>Chemicals for  water treatment  Water for human consumption</t>
  </si>
  <si>
    <t xml:space="preserve"> ICS codes: 67.160.20  71.100.80  HS codes: 382490 </t>
  </si>
  <si>
    <t>G/TBT/N/THA/437</t>
  </si>
  <si>
    <t>Draft Notification of the Alcoholic Beverages Control  Re: Rules  Procedure and condition for Labels of Alcoholic Beverages  issued under B.E. … (2 pages  in Thai).</t>
  </si>
  <si>
    <t>The Notification G/TBT/N/THA/332 (dated 21 January 2010) which entitled "Draft notification of the Alcohol Beverage Control  Re: Criteria  Procedures and Requirements for Alcohol Beverage Packages or Pictorial Labels/Warning Statements on the Local Manufactured or Imported Alcohol Beverages” is intended to be replaced withThe Draft Notification of the Alcohol Beverages Control  Re: Rules  Procedures and conditions for Labels of Alcohol Beverages  issued under…..BE….  it is specified as follows:1.&amp;nbsp &amp;nbsp &amp;nbsp &amp;nbsp &amp;nbsp &amp;nbsp &amp;nbsp &amp;nbsp  The Labels of Alcoholic Beverage shall not useany messages as follows:(1)&amp;nbsp &amp;nbsp &amp;nbsp &amp;nbsp &amp;nbsp &amp;nbsp &amp;nbsp  The message which is unfair to consumers or leads to consequentially affected to social although these messages may relate to sources  condition  quality or characteristics of products or services including delivery  procurement or application of products or services. &amp;nbsp &amp;nbsp &amp;nbsp &amp;nbsp &amp;nbsp &amp;nbsp  The messages being regarded as unfair message to consumers or consequentially affected to social are defined as follows:(a)&amp;nbsp &amp;nbsp &amp;nbsp &amp;nbsp &amp;nbsp &amp;nbsp &amp;nbsp  The message which is false or exaggerated.(b)&amp;nbsp &amp;nbsp &amp;nbsp &amp;nbsp &amp;nbsp &amp;nbsp &amp;nbsp  The message which misleads the content of products or services although these messages may refer to an academic report  statistical data or unrealistic or exaggerated information.(c)&amp;nbsp &amp;nbsp &amp;nbsp &amp;nbsp &amp;nbsp &amp;nbsp &amp;nbsp  The message that directly or indirectly supports an illegal or morality or leads to discredit to the national culture.(d)&amp;nbsp &amp;nbsp &amp;nbsp &amp;nbsp &amp;nbsp &amp;nbsp &amp;nbsp  The message that leads to disharmony or prejudiceto the social or people.(2)&amp;nbsp &amp;nbsp &amp;nbsp &amp;nbsp &amp;nbsp &amp;nbsp &amp;nbsp  The message which directly or indirectly persuades to consume or pretentiously exaggerates the benefit or quality of alcoholic beverage.2.&amp;nbsp &amp;nbsp &amp;nbsp &amp;nbsp &amp;nbsp &amp;nbsp &amp;nbsp &amp;nbsp  The action of any following characteristics which are considered to be included in Clause 1 (2):(1)&amp;nbsp &amp;nbsp &amp;nbsp &amp;nbsp &amp;nbsp &amp;nbsp &amp;nbsp  The message that introduces an attitude that drinking alcohol can lead to social and sexual success including health.(2)&amp;nbsp &amp;nbsp &amp;nbsp &amp;nbsp &amp;nbsp &amp;nbsp &amp;nbsp  The message or pictorial athlete.(3)&amp;nbsp &amp;nbsp &amp;nbsp &amp;nbsp &amp;nbsp &amp;nbsp &amp;nbsp  The message or pictorial artist or singer.(4)&amp;nbsp &amp;nbsp &amp;nbsp &amp;nbsp &amp;nbsp &amp;nbsp &amp;nbsp  The message using pictorial cartoon.(5)&amp;nbsp &amp;nbsp &amp;nbsp &amp;nbsp &amp;nbsp &amp;nbsp &amp;nbsp  The message that persuades or convinces to purchase or consume in order to donate money to charity.(6)&amp;nbsp &amp;nbsp &amp;nbsp &amp;nbsp &amp;nbsp &amp;nbsp &amp;nbsp  The message that persuades or convinces to participate in activities such as music  sports  contests or recreation.3.&amp;nbsp  The draft notification shall not be applied to the alcoholic beverages manufactured or imported for distribution out of the Kingdom of Thailand or for the purposes of testing  analysis or research with a clear specification and for non-commercial benefits in the Kingdom.4.&amp;nbsp  The labels that were used prior to the date of enforcement of this notification can continue to be used not more than one hundred and eighty days after this notification becomes effective.5.&amp;nbsp  This Notification shall come into force from the day following the date of its publication in the Government Gazette.</t>
  </si>
  <si>
    <t>Alcohol Beverages (ICS:  67.160.10) (HS 2203  2204  2205  2206  2207  2208).</t>
  </si>
  <si>
    <t xml:space="preserve"> HS codes: 2206  2205  2207  2203  2204  2208 </t>
  </si>
  <si>
    <t>G/TBT/N/QAT/332</t>
  </si>
  <si>
    <t>Non- alcoholic carbonated Beverages  ( 9 pages in Arabic  9 pages in English )</t>
  </si>
  <si>
    <t>This draft technical regulation is concerned with the general requirements of the edible essential water Intended for human consumption  definition  requirements  sampling  methods of test  packaging  transportation  storage and labelling.</t>
  </si>
  <si>
    <t>Non- alcoholic carbonated Beverages ( ICS : 67.160.20 )</t>
  </si>
  <si>
    <t>G/TBT/N/BHR/329</t>
  </si>
  <si>
    <t>Non-Alcoholic Carbonated Beverages  Arabic (7 pages)  English (7pages)</t>
  </si>
  <si>
    <t>This draft technical regulation specifies the requirements stated in the Gulf standard GSO " Non-Alcoholic Carbonated Beverages under clauses 7.1 &amp;amp  8 (packaging &amp;amp  labelling) as mandatory requirements. 1.&amp;nbsp &amp;nbsp &amp;nbsp &amp;nbsp &amp;nbsp &amp;nbsp &amp;nbsp &amp;nbsp &amp;nbsp &amp;nbsp &amp;nbsp &amp;nbsp &amp;nbsp &amp;nbsp &amp;nbsp &amp;nbsp &amp;nbsp  It specifies that the product should be without prejudice to the following provisions of GSO Standard:-&amp;nbsp &amp;nbsp &amp;nbsp &amp;nbsp &amp;nbsp &amp;nbsp &amp;nbsp &amp;nbsp &amp;nbsp &amp;nbsp &amp;nbsp &amp;nbsp &amp;nbsp &amp;nbsp &amp;nbsp &amp;nbsp &amp;nbsp &amp;nbsp &amp;nbsp  GSO 839 “General Regulations for Food Containers”.-&amp;nbsp &amp;nbsp &amp;nbsp &amp;nbsp &amp;nbsp &amp;nbsp &amp;nbsp &amp;nbsp &amp;nbsp &amp;nbsp &amp;nbsp &amp;nbsp &amp;nbsp &amp;nbsp &amp;nbsp &amp;nbsp &amp;nbsp &amp;nbsp &amp;nbsp  GSO 1024 “Non-Returnable Glass Bottles for Carbonated Beverages".&amp;nbsp  &amp;nbsp &amp;nbsp &amp;nbsp &amp;nbsp  -&amp;nbsp &amp;nbsp &amp;nbsp &amp;nbsp &amp;nbsp &amp;nbsp &amp;nbsp &amp;nbsp &amp;nbsp &amp;nbsp &amp;nbsp &amp;nbsp &amp;nbsp &amp;nbsp &amp;nbsp &amp;nbsp &amp;nbsp &amp;nbsp &amp;nbsp  GSO 1793"The two pieces aluminum round cans used for canning food (Beverages &amp;amp  stuff).&amp;nbsp &amp;nbsp &amp;nbsp &amp;nbsp &amp;nbsp &amp;nbsp &amp;nbsp &amp;nbsp &amp;nbsp &amp;nbsp &amp;nbsp &amp;nbsp &amp;nbsp &amp;nbsp &amp;nbsp &amp;nbsp &amp;nbsp &amp;nbsp &amp;nbsp  2.&amp;nbsp &amp;nbsp &amp;nbsp &amp;nbsp &amp;nbsp &amp;nbsp &amp;nbsp &amp;nbsp &amp;nbsp &amp;nbsp &amp;nbsp &amp;nbsp &amp;nbsp &amp;nbsp &amp;nbsp &amp;nbsp &amp;nbsp  The product shall be packaged in containers which will safeguard the hygienic quality.3.&amp;nbsp &amp;nbsp &amp;nbsp &amp;nbsp &amp;nbsp &amp;nbsp &amp;nbsp &amp;nbsp &amp;nbsp &amp;nbsp &amp;nbsp &amp;nbsp &amp;nbsp &amp;nbsp &amp;nbsp &amp;nbsp &amp;nbsp  The edges of the glass container nozzle shall have a continuous smooth surface. The crowns shall be new  free from rust  and lined with cork or plastic discs to prevent gas leakage and disintegration.4.&amp;nbsp &amp;nbsp &amp;nbsp &amp;nbsp &amp;nbsp &amp;nbsp &amp;nbsp &amp;nbsp &amp;nbsp &amp;nbsp &amp;nbsp &amp;nbsp &amp;nbsp &amp;nbsp &amp;nbsp &amp;nbsp &amp;nbsp  Containers made of material other than glass shall comply with -&amp;nbsp &amp;nbsp &amp;nbsp &amp;nbsp  GSO 1793 "The two pieces aluminum round cans used for canning food (Beverages &amp;amp  stuff).It also describes following label requirements such as:1.&amp;nbsp &amp;nbsp &amp;nbsp &amp;nbsp &amp;nbsp &amp;nbsp &amp;nbsp &amp;nbsp &amp;nbsp &amp;nbsp &amp;nbsp &amp;nbsp &amp;nbsp &amp;nbsp &amp;nbsp &amp;nbsp &amp;nbsp  The labeling should be without prejudice to the provisions of Gulf standard GSO&amp;nbsp  9&amp;nbsp &amp;nbsp  “ Labeling of prepackaged foods” .2.&amp;nbsp &amp;nbsp &amp;nbsp &amp;nbsp &amp;nbsp &amp;nbsp &amp;nbsp &amp;nbsp &amp;nbsp &amp;nbsp &amp;nbsp &amp;nbsp &amp;nbsp &amp;nbsp &amp;nbsp &amp;nbsp &amp;nbsp  Labeling and adjoining explanatory statements shall be in written in Arabic and any other language. All the information provided in another language shall be identical with those written in Arabic.3.&amp;nbsp &amp;nbsp &amp;nbsp &amp;nbsp &amp;nbsp &amp;nbsp &amp;nbsp &amp;nbsp &amp;nbsp &amp;nbsp &amp;nbsp &amp;nbsp &amp;nbsp &amp;nbsp &amp;nbsp &amp;nbsp &amp;nbsp  The following shall be declared on the label of the product:·&amp;nbsp &amp;nbsp &amp;nbsp &amp;nbsp &amp;nbsp &amp;nbsp &amp;nbsp &amp;nbsp &amp;nbsp &amp;nbsp &amp;nbsp &amp;nbsp &amp;nbsp &amp;nbsp &amp;nbsp &amp;nbsp &amp;nbsp &amp;nbsp &amp;nbsp &amp;nbsp  Packer or Producer name or its trade mark shall be clearly shown on the outer surface of the glass containers. ·&amp;nbsp &amp;nbsp &amp;nbsp &amp;nbsp &amp;nbsp &amp;nbsp &amp;nbsp &amp;nbsp &amp;nbsp &amp;nbsp &amp;nbsp &amp;nbsp &amp;nbsp &amp;nbsp &amp;nbsp &amp;nbsp &amp;nbsp &amp;nbsp &amp;nbsp &amp;nbsp  The name of the non-alcoholic beverage or its trade mark or both shall be clearly shown on the glass container in a way it cannot be removed during trading.·&amp;nbsp &amp;nbsp &amp;nbsp &amp;nbsp &amp;nbsp &amp;nbsp &amp;nbsp &amp;nbsp &amp;nbsp &amp;nbsp &amp;nbsp &amp;nbsp &amp;nbsp &amp;nbsp &amp;nbsp &amp;nbsp &amp;nbsp &amp;nbsp &amp;nbsp &amp;nbsp  If the non-alcoholic beverage contains caffeine:-&amp;nbsp &amp;nbsp &amp;nbsp &amp;nbsp &amp;nbsp &amp;nbsp &amp;nbsp &amp;nbsp &amp;nbsp &amp;nbsp &amp;nbsp &amp;nbsp &amp;nbsp &amp;nbsp &amp;nbsp &amp;nbsp &amp;nbsp &amp;nbsp &amp;nbsp  It shall be mentioned as contents.-&amp;nbsp &amp;nbsp &amp;nbsp &amp;nbsp &amp;nbsp &amp;nbsp &amp;nbsp &amp;nbsp &amp;nbsp &amp;nbsp &amp;nbsp &amp;nbsp &amp;nbsp &amp;nbsp &amp;nbsp &amp;nbsp &amp;nbsp &amp;nbsp &amp;nbsp  The concentration of caffeine shall be written in the table of&amp;nbsp  nutritional Information.-&amp;nbsp &amp;nbsp &amp;nbsp &amp;nbsp &amp;nbsp &amp;nbsp &amp;nbsp &amp;nbsp &amp;nbsp &amp;nbsp &amp;nbsp &amp;nbsp &amp;nbsp &amp;nbsp &amp;nbsp &amp;nbsp &amp;nbsp &amp;nbsp &amp;nbsp  If the concentration of caffeine exceeds 150 mg / l it shall be clearly stated under the name of the product the warning: (High caffeine) and (not suitable for patients with heart disease  high pressure  pregnant women children  and athletes during exercises).·&amp;nbsp &amp;nbsp &amp;nbsp &amp;nbsp &amp;nbsp &amp;nbsp &amp;nbsp &amp;nbsp &amp;nbsp &amp;nbsp &amp;nbsp &amp;nbsp &amp;nbsp &amp;nbsp &amp;nbsp &amp;nbsp &amp;nbsp &amp;nbsp &amp;nbsp &amp;nbsp  Production date and shelf life or expiry date.·&amp;nbsp &amp;nbsp &amp;nbsp &amp;nbsp &amp;nbsp &amp;nbsp &amp;nbsp &amp;nbsp &amp;nbsp &amp;nbsp &amp;nbsp &amp;nbsp &amp;nbsp &amp;nbsp &amp;nbsp &amp;nbsp &amp;nbsp &amp;nbsp &amp;nbsp &amp;nbsp  Nutritional Information for each 100 ml  including calories and grams of protein  fat and carbohydrates (or sugar) and the number of mg of sodium.Concentration of artificial sweeteners if used with its cautions and notifications.</t>
  </si>
  <si>
    <t xml:space="preserve">Non-Alcoholic Carbonated Beverages  ICS : 67.140 </t>
  </si>
  <si>
    <t>G/TBT/N/OMN/150</t>
  </si>
  <si>
    <t>Non- alcoholic carbonated Beverages  (Available  in Arabic  9 pages  &amp;   in English  9 pages).</t>
  </si>
  <si>
    <t>This Omani/Gulf draft technical regulation is concernedwith non-alcoholic carbonated beverages.Items related to &amp;nbsp requirements    packaging  transportation &amp;amp  storage   and labelling ( items 4   7 and 8) are compulsory.&amp;nbsp  The remaining items are voluntary.</t>
  </si>
  <si>
    <t>Non- alcoholic carbonated Beverages.</t>
  </si>
  <si>
    <t>Albania</t>
  </si>
  <si>
    <t>G/TBT/N/ALB/83</t>
  </si>
  <si>
    <t>Draft Decision of Council of Ministers "On the approval of the regulation 'On quality characteristics and purity criteria of olive oil and olive pomace oil'" (15 pages  in Albanian)</t>
  </si>
  <si>
    <t>This draft Decision of Council of Ministers defines and updates the characteristics of quality  simplicity and security for oliveoil and olive pomace oil  providing a quality product to the final consumer and ensuring fair competition in the market</t>
  </si>
  <si>
    <t>Olive oil and olive pomace oil</t>
  </si>
  <si>
    <t xml:space="preserve"> HS codes: 1509 </t>
  </si>
  <si>
    <t>G/TBT/N/KEN/524</t>
  </si>
  <si>
    <t>DKS 2680 Emmental Cheese - Specification (9 pages  in English)</t>
  </si>
  <si>
    <t xml:space="preserve">Specifies requirements and methods of sampling and test for emmental cheese intended for direct consumption or for further processing. The Standard applies to emmental cheese made from cow's milk </t>
  </si>
  <si>
    <t xml:space="preserve"> ICS codes: 67.100.01  HS codes: 0406 </t>
  </si>
  <si>
    <t>G/TBT/N/KEN/523</t>
  </si>
  <si>
    <t>DKS 175:2016 Instant Coffee - Specification (6 pages  in English)</t>
  </si>
  <si>
    <t>The Standard specifies the requirements and the methods of test and sampling for instant/soluble coffee. General term for the fruits and seeds of plants of the genus coffea  generally the cultivated species  as well as&amp;nbsp  products from these fruits and seeds in different stages of processing and use which are intended for&amp;nbsp  consumption.</t>
  </si>
  <si>
    <t xml:space="preserve"> ICS codes: 67.140.20  HS codes: 2101 </t>
  </si>
  <si>
    <t>G/TBT/N/KEN/522</t>
  </si>
  <si>
    <t>DKS 2684: 2016 Cow ghee - Specification (10 pages  in English)</t>
  </si>
  <si>
    <t>The standard specifies the requirements and methods of sampling and test for cow ghee  suitable for human consumption. This standard shall only apply to the ghee obtained from cow milk fat.</t>
  </si>
  <si>
    <t xml:space="preserve"> ICS codes: 67.100.01  HS codes: 0405 </t>
  </si>
  <si>
    <t>G/TBT/N/KEN/521</t>
  </si>
  <si>
    <t>DKS 2682:2016 Camembert Cheese - Specification (11 pages  in English)</t>
  </si>
  <si>
    <t xml:space="preserve">The Standard specifies requirements and methods of sampling and test for camembert cheese intended for direct consumption or for further processing.&amp;nbsp It applies to Camembert cheese made from cow's milk.&amp;nbsp  </t>
  </si>
  <si>
    <t>G/TBT/N/KEN/516</t>
  </si>
  <si>
    <t>DKS 2678:2016 Havarti Cheese - Specification (7 pages  in English)</t>
  </si>
  <si>
    <t>Standard specifies requirements and methods of sampling and test for Havarti cheese intended for direct consumption or for further processing. Standard applies to Havarti cheese made from cow's milk.</t>
  </si>
  <si>
    <t>G/TBT/N/KEN/514</t>
  </si>
  <si>
    <t>DKS 2683 Brie Cheese - Specification (10 pages  in English)</t>
  </si>
  <si>
    <t>Prescribes the requirements and test methods for&amp;nbsp Brie cheese intended for direct consumption or for further processing.&amp;nbsp  The Standard applies to Brie cheese made from cow's milk.</t>
  </si>
  <si>
    <t>G/TBT/N/KEN/513</t>
  </si>
  <si>
    <t>DKS 2681:2016 Edam Cheese - Specification (9 pages  in English)</t>
  </si>
  <si>
    <t>The Standard specifies requirements and methods of sampling and test for Edam cheese intended for direct consumption or for further processing.</t>
  </si>
  <si>
    <t>G/TBT/N/KEN/512</t>
  </si>
  <si>
    <t>DKS 2679:2016 Goat cheese - Specification (17 pages  in English)</t>
  </si>
  <si>
    <t>Prescribes the requirements and methods of test and sampling for Goat cheese intended for direct consumption or for further processing.&amp;nbsp The Standard applies to Goat cheese made from pasteurized goat's milk</t>
  </si>
  <si>
    <t xml:space="preserve"> ICS codes: 67.100  HS codes: 0406 </t>
  </si>
  <si>
    <t>G/TBT/N/KEN/499</t>
  </si>
  <si>
    <t>DKS 317: PART 2:2015 Carcasses and meat cuts - Specification - Part 2: Ovine and Caprine - Section 1: Lamb and mutton  Section 2: Goat (18 pages  in English)</t>
  </si>
  <si>
    <t xml:space="preserve">The standard specifies methods of grading and grades of lamb and mutton  quality requirements  safety requirement and methods of sampling and analysis of lamb and mutton carcasses and cuts meant for human consumption.&amp;nbsp  </t>
  </si>
  <si>
    <t xml:space="preserve"> ICS codes: 67.120  HS codes: 0204 </t>
  </si>
  <si>
    <t>G/TBT/N/KEN/498</t>
  </si>
  <si>
    <t>DKS 317: PART 1: 2015 Carcasses and meat cuts - Specification - Part 1: Bovine - Section 1: Beef  Section 2: Veal (20 pages  in English)</t>
  </si>
  <si>
    <t>This standard specifies methods of grading and grades of beef  quality requirements  safety requirement and methods of sampling and analysis of beef carcasses and cuts meant for human consumption. The standard also defines major portions of meat cuts from the carcasses for sale.</t>
  </si>
  <si>
    <t xml:space="preserve"> ICS codes: 67.120  HS codes: 0201  0202 </t>
  </si>
  <si>
    <t>G/TBT/N/TUR/86</t>
  </si>
  <si>
    <t>Turkish Food Codex Communiqué on Olive Oil and Olive Pomace Oil  (7 pages  in Turkish).</t>
  </si>
  <si>
    <t>The purpose of this amendment&amp;nbsp is to determine the criteria for olive oil and olive pomace oil in line with Codex Alimentarius Standards  EU legislation and International Olive Council Standards.</t>
  </si>
  <si>
    <t>G/TBT/N/PAK/110</t>
  </si>
  <si>
    <t>Packaged Liquid Milk (11 pages  in English)</t>
  </si>
  <si>
    <t>This Pakistan Standard applies to the packaged liquid milk to be offered for direct consumption.</t>
  </si>
  <si>
    <t xml:space="preserve">Packaged Liquid Milk PS: 5344 (HS: 04.01  ICS: 67.100.10) </t>
  </si>
  <si>
    <t xml:space="preserve"> ICS codes: 67.100.10  HS codes: 0401 </t>
  </si>
  <si>
    <t>G/TBT/N/TUR/81</t>
  </si>
  <si>
    <t>Turkish Food Codex Communiqué on Grape Molasses (3 pages  in Turkish)</t>
  </si>
  <si>
    <t>The purpose of this Communiqué is to determine the definition  product features and labelling of grape molasses.</t>
  </si>
  <si>
    <t xml:space="preserve">Grape molasses </t>
  </si>
  <si>
    <t xml:space="preserve"> HS codes: 200799 </t>
  </si>
  <si>
    <t>Consumer information  Labelling  Quality requirements</t>
  </si>
  <si>
    <t>Argentina</t>
  </si>
  <si>
    <t>G/TBT/N/ARG/308</t>
  </si>
  <si>
    <t>"Importación de productos vitivinícolas a granel" (2 páginas  en español)</t>
  </si>
  <si>
    <t>Los productos vínicos importados a granel deberán ingresar acompañados de antecedentes de elaboración expedido porautoridad competente del país del cual provienen  donde constará las variedades de uva utilizadas con la añada pertinente.</t>
  </si>
  <si>
    <t>Bebidas alcohólicas - Vinos</t>
  </si>
  <si>
    <t xml:space="preserve"> HS codes: 2205  2204 </t>
  </si>
  <si>
    <t>Canada</t>
  </si>
  <si>
    <t>G/TBT/N/CAN/500</t>
  </si>
  <si>
    <t>Regulations Amending Certain Regulations Made Under Section 89  Subsection 93(1) and Section 114 of the Canadian Environmental Protection Act  1999 (31 pages  available in English and French)</t>
  </si>
  <si>
    <t>Environment and Climate Change Canada proposes to amend nine Regulations in order to make required changes to improve the clarity and consistency of the regulatory texts and to keep references to standards up to date.Furthermore  the proposed amendments aim to respond to concerns  comments and recommendations from the Standards Council of Canada  the Standing Joint Committee for the Scrutiny of Regulations and the Commissioner of the Environment and Sustainable Development.The nine regulations are: Contaminated Fuel Regulations Benzene in Gasoline Regulations Tributyltetradecylphosphonium Chloride Regulations Tetrachloroethylene (Use in Dry Cleaning and Reporting Requirements) Regulations Solvent Degreasing Regulations New Substances Notification Regulations (Chemicals and Polymers) New Substances Notification Regulations (Organisms) Volatile Organic Compound (VOC) Concentration Limits for Automotive Refinishing Products Regulations  andVolatile Organic Compound (VOC) Concentration Limits for Architectural Coatings Regulations.</t>
  </si>
  <si>
    <t>Environmental protection (ICS: 13.020)  Fuels (ICS:75.160)  Biological sources and alternative sources of energy (ICS: 27.190)  HS codes  For the two fuels regulations: 2207.20  2710  2710.12  2710.19 2710.91 2710.99  3826.  For Tetrachloroethylene (Use in Dry Cleaning and Reporting Requirements) Regulations  and Solvent Degreasing Regulations: 2903.23.00.00   For Solvent Degreasing Regulations: 2903.22.00.00   For Volatile Organic Compound (VOC) Concentration Limits for Automotive Refinishing Products Regulations: 2710.12.90 31 3208.90.90 10  3208.90.90 20  3209.10.00 10  3209.10.00 20  3209.90.00 10  3209.90.00 20  3210.00.00 10  3210.00.00 20  3210.00.00 90  32.12  3814.00.00 10  3814.00.00 20  3814.00.00 30  3814.00.00 90.  For Volatile Organic Compound (VOC) Concentration Limits for Architectural Coatings Regulations: 3208.90.90 10  3208.90.90 20  3209.10.00 10  3209.10.00 20  3209.90.00 10  3209.90.00 20  3210.00.00 10  3210.00.00 20  3210.00.00 90  32.12  3214.10.90 10  3214.10.90 20  3214.10.90 90  3214.90.00 10  3214.90.00 90  3814.00.00 10  3814.00.00 20  3814.00.00 30  3814.00.00 90  3824.40.00 00.</t>
  </si>
  <si>
    <t xml:space="preserve"> HS codes: 3214  290323  38  382440  320890  2710  220720  271091  320910  3210  320990  3814  3212  271019  290322 </t>
  </si>
  <si>
    <t>G/TBT/N/ECU/328</t>
  </si>
  <si>
    <t xml:space="preserve">&lt;pre&gt;&lt;p&gt;TITLE: Approval and Promulgation of Air Quality Implementation Plans  Maryland  Control of Volatile Organic Compounds Emissions From Fiberglass Boat Manufacturing Materials  Withdrawal of Direct Final Rule&lt;/p&gt;&lt;p&gt;AGENCY: Environmental Protection Agency (EPA)&lt;/p&gt;&lt;p&gt;ACTION: Withdrawal of direct final rule&lt;/p&gt;&lt;p&gt;SUMMARY: Due to the receipt of a comment  the Environmental Protection Agency (EPA) is withdrawing the direct final rule published on 1 August 2016  to approve the State of Maryland's adoption of the requirements in EPA's control technique guidelines (CTG) for fiberglass boat manufacturing materials.&lt;/p&gt;&lt;p&gt;DATES: The direct final rule published at 81 FR 50336 on 1 August 2016  is withdrawn effective 16 September 2016. &lt;/p&gt;&lt;/pre&gt; </t>
  </si>
  <si>
    <t xml:space="preserve"> HS codes: 170191  170112  170199 </t>
  </si>
  <si>
    <t>G/TBT/N/MEX/322</t>
  </si>
  <si>
    <t>PROY-NOM-003-SAG/GAN-2016  Propóleos  producción y especificaciones para su procesamiento (10 páginas  en español)</t>
  </si>
  <si>
    <t>Esta Norma es aplicable a las unidades económicas pecuarias dedicadas a la producción  importación  acondicionamiento y almacenamiento con fines de distribución y comercialización de propóleos y sus extractos en el territorio nacional. La aplicación de las disposiciones contenidas en esta Norma compete a la Secretaría de Agricultura  Ganadería  Desarrollo Rural  Pesca y Alimentación (SAGARPA)  a través de la Coordinación General de Ganadería así como a las Delegaciones de la SAGARPA en el ámbito de sus respectivas atribuciones y circunscripciones territoriales.</t>
  </si>
  <si>
    <t>Propóleos (Partida: 1702)</t>
  </si>
  <si>
    <t xml:space="preserve"> HS codes: 1702 </t>
  </si>
  <si>
    <t>G/TBT/N/ECU/327</t>
  </si>
  <si>
    <t>Proyecto de normativa técnica sanitaria para la obtención de la notificación sanitaria y control de suplementos alimenticios y de los establecimientos en donde se fabrican  almacenan  distribuyen  importan y comercializan (21 páginas  en español)</t>
  </si>
  <si>
    <t xml:space="preserve">Este Proyecto de Normativa Técnica establece el&amp;nbsp objeto y ámbito de aplicación  definiciones y abreviaturas  notificación sanitaria  reinscripción y modificación de la notificación sanitaria  certificado de buenas prácticas de manufactura  criterios para la formulación de suplementos alimenticios  envase y etiquetas  otras autorizaciones  comercialización y publicidad  permiso de funcionamiento de los establecimientos de suplementos alimenticios  derogatorias  disposiciones generales  disposiciones transitorias  disposición reformatoria y disposición final de la Normativa Técnica Sanitaria Ecuatoriana "Obtención de la notificación sanitaria y control de suplementos alimenticios y de los establecimientos en donde se fabrican  almacenan  distribuyen  importan y comercializan". </t>
  </si>
  <si>
    <t>2106.90.71.00  2106.90.72.00  2106.90.73.00  2106.90.74.00  2106.90.79.00</t>
  </si>
  <si>
    <t xml:space="preserve"> HS codes: 210690 </t>
  </si>
  <si>
    <t>Consumer information  Labelling  Protection of Human health or Safety  Quality requirements</t>
  </si>
  <si>
    <t>G/TBT/N/UGA/591</t>
  </si>
  <si>
    <t>DUS DEAS 899:2016  Tuna canned in oil — Specification. (17 pages  in English).</t>
  </si>
  <si>
    <t>This Draft Uganda standard specifies requirements  methods of sampling and test for tuna canned in oil.</t>
  </si>
  <si>
    <t>Tunas  canned tunas.</t>
  </si>
  <si>
    <t xml:space="preserve"> ICS codes: 67.120.30  HS codes: 160414 </t>
  </si>
  <si>
    <t>G/TBT/N/UGA/590</t>
  </si>
  <si>
    <t>DUS DEAS 897:2016  Frozen lobster tails — Specification. (17 pages  in English).</t>
  </si>
  <si>
    <t>This Draft Uganda standard specifies requirements  methods of sampling and test for tails of all the species of the genera Panulirus  Thunnus and Peurulus.</t>
  </si>
  <si>
    <t>Frozen lobster tails.</t>
  </si>
  <si>
    <t xml:space="preserve"> ICS codes: 67.120.30  HS codes: 03023  030611  160530  030621 </t>
  </si>
  <si>
    <t>G/TBT/N/UGA/576</t>
  </si>
  <si>
    <t>DUS DEAS 1:2016  Wheat Flour - Specification (15 pages  in English)</t>
  </si>
  <si>
    <t>This Draft East African Standard specifies the requirements  methods of sampling and test for wheat flour prepared from common wheat. Triticum aestivum L. or club wheat  Triticum compactum host  or mixtures thereof intended for human consumption. It does not apply to wheat flour obtained from Triticum durum and fortified wheat flour.</t>
  </si>
  <si>
    <t>Wheat flour</t>
  </si>
  <si>
    <t xml:space="preserve"> ICS codes: 67.060  HS codes: 1101  110100 </t>
  </si>
  <si>
    <t>G/TBT/N/UGA/575</t>
  </si>
  <si>
    <t>DUS DEAS 44:2016  Milled Maize (Corn) Products - Specification (15 pages  in English)</t>
  </si>
  <si>
    <t>This Draft East African Standard specifies the requirements  methods of sampling and test for whole maize meal  granulated maize meal  sifted maize meal  maize grits and maize flour from the grains of common maize (Zea mays L.) intended for human consumption. Maize grits intended for brewing  manufacturing of starch and any other industrial use are not covered.</t>
  </si>
  <si>
    <t>Milled maize (corn) products</t>
  </si>
  <si>
    <t xml:space="preserve"> ICS codes: 67.060  HS codes: 110220 </t>
  </si>
  <si>
    <t>G/TBT/N/UGA/574</t>
  </si>
  <si>
    <t>DUS DEAS 768:2016  Fortified milled maize (corn) products - Specification  (20 pages  in English).</t>
  </si>
  <si>
    <t>This Draft East African Standard specifies the requirements  methods of sampling and test for fortified milled maize (corn) products namely whole maize meal  granulated maize meal  sifted maize meal and maize flour from the grains of common maize (Zea mays L.) intended for human consumption.</t>
  </si>
  <si>
    <t>Fortified milled maize (corn) products.</t>
  </si>
  <si>
    <t>G/TBT/N/UGA/573</t>
  </si>
  <si>
    <t>DUS DEAS 767:2016  Fortified wheat flour - Specification. (20 pages  in English).</t>
  </si>
  <si>
    <t>This Draft East African Standard specifies the requirements  methods of sampling and test for fortified wheat flour prepared from common wheat. Triticum aestivum L. or club wheat  Triticum compactum Host  or mixtures thereof intended for human consumption. It does not apply to wheat flour obtained from Triticum durum.</t>
  </si>
  <si>
    <t>Fortified wheat flour.</t>
  </si>
  <si>
    <t>G/TBT/N/UGA/572</t>
  </si>
  <si>
    <t>DUS DEAS 89:2016  Millet flour - Specification  (15 pages  in English).</t>
  </si>
  <si>
    <t>This Draft East African Standard specifies the requirements  methods of sampling and test for millet flour obtained from pearl millet of varieties (cultivars)&amp;nbsp  - souna &amp;nbsp and sanio grown from Pennisetum glaucum (L.) R.Br. proso millet grown from Penicum maliaceum and finger millet grown from Eleusine coracana (L.) Gaertner intended for human consumption. It does not apply to grits obtained from pearl millet.</t>
  </si>
  <si>
    <t>Millet flour.</t>
  </si>
  <si>
    <t xml:space="preserve"> ICS codes: 67.060  HS codes: 1102 </t>
  </si>
  <si>
    <t>G/TBT/N/UGA/571</t>
  </si>
  <si>
    <t>DUS DEAS 95:2016  Sorghum flour - Specification  (15 pages  in English).</t>
  </si>
  <si>
    <t>This Draft East African Standard specifies the requirements  methods of sampling and test for sorghum flour obtained from decorticated sorghum grains (Sorghum bicolour (L) Moench.) intended for human consumption. It does not apply to grits or meal obtained from sorghum.</t>
  </si>
  <si>
    <t>Sorghum flour.</t>
  </si>
  <si>
    <t>G/TBT/N/BRA/691</t>
  </si>
  <si>
    <t>Draft Ordinance Nº. 86  23 August 2016 (5 pages  in Portuguese).</t>
  </si>
  <si>
    <t>Draft technical regulation set for the completion of the identity and quality standards applied only for juice to be submitted to industrial processes and intended for human consumption as a beverage.It revokes the attachmentsXVII  XVIII  XIX  XX  XXI  XXII  XXIII  XXIV  XXV  XXVI e XXVIIof the Ordinance Nº 1  7 January 2000 (Instrução Normativa Nº 1  de 7/2000).</t>
  </si>
  <si>
    <t xml:space="preserve"> HS codes: 2009 </t>
  </si>
  <si>
    <t>G/TBT/N/BRA/690</t>
  </si>
  <si>
    <t>Draft Ordinance Nº. 58  30 August 2016  (5 pages  in Portuguese).</t>
  </si>
  <si>
    <t xml:space="preserve">Draft technical regulation establishing the completion of the identity and quality standards for fruit pulps to be submitted to industrial processes and treatment that maintains its presentation and conservation up to the moment of human consumption as a beverage.It revokes the attachments I  II  III  IV  V  VI  VII  VIII  IX  X  XI  XII  XIII  XIV  XV  XVI&amp;nbsp of the Ordinance Nº 1  7 January 2000 (Instrução Normativa Nº 1  &amp;nbsp de 7/2000).&amp;nbsp </t>
  </si>
  <si>
    <t xml:space="preserve"> HS codes: 2008 </t>
  </si>
  <si>
    <t>G/TBT/N/UGA/563</t>
  </si>
  <si>
    <t>DUS FDEAS 321:2016  Edible fats and oils (General) - Specification (13 pages  in English)</t>
  </si>
  <si>
    <t>This Draft Uganda Standard specifies the requirements  methods of sampling and tests for edible fats and oils intended for human consumption. It does not apply to any fat or oil  which is a subject of specific Uganda Standard designated by specific name.</t>
  </si>
  <si>
    <t>Edible fats  edible oils</t>
  </si>
  <si>
    <t xml:space="preserve"> ICS codes: 67.200  67.200.10  HS codes: 15  1517 </t>
  </si>
  <si>
    <t>G/TBT/N/UGA/562</t>
  </si>
  <si>
    <t>DUS DEAS 887: 2016  Crude and semi refined palm oil - Specification. (15 pages  in English)</t>
  </si>
  <si>
    <t>This draft Uganda standard specifies the requirements and methods of sampling and test for crude and semi refined oils (neutralized and/or bleached) derived from the fleshy mesocarp of the fruit of palm (Elaeis guineensis) intended for further industrial processing.</t>
  </si>
  <si>
    <t>Crude palm oil  semi refined palm oil</t>
  </si>
  <si>
    <t xml:space="preserve"> ICS codes: 67.200  HS codes: 150810 </t>
  </si>
  <si>
    <t>G/TBT/N/UGA/561</t>
  </si>
  <si>
    <t>DUS FDEAS 14:2016  Fat spreads and blended spreads - Specification (15 pages  in English)</t>
  </si>
  <si>
    <t>This Final Draft Uganda Standard specifies requirements  methods of sampling and test for fat spreads and blended spreads. The draft standard does not apply to fat spreads derived exclusively from milk and/or milk products to which only other substances necessary for their manufacture have been added such as butter and dairy spreads.</t>
  </si>
  <si>
    <t>Fat spreads  blended spreads</t>
  </si>
  <si>
    <t xml:space="preserve"> ICS codes: 67.200  67.200.10  HS codes: 1517  12 </t>
  </si>
  <si>
    <t>G/TBT/N/UGA/560</t>
  </si>
  <si>
    <t>DUS DEAS 795:2016  Palm olein - Specification (17 pages  in English)</t>
  </si>
  <si>
    <t>This Draft Uganda Standard specifies the requirements and methods of sampling and test for crude and processed palm olein derived from fleshy mesocarp of the fruit of the oil palm (Elaeis guineensis).</t>
  </si>
  <si>
    <t>Palm olein</t>
  </si>
  <si>
    <t xml:space="preserve"> ICS codes: 67.200  67.200.20  HS codes: 1511 </t>
  </si>
  <si>
    <t>G/TBT/N/UGA/558</t>
  </si>
  <si>
    <t>DUS DEAS 888:2016  Raw and roasted groundnuts for table use - Specification (17 pages  in English)</t>
  </si>
  <si>
    <t>This Draft Uganda Standard specifies the requirements  grading  methods of sampling and test for shelled raw and roasted groundnut kernels of the fruit of the plant Arachis hypogea intended for direct human consumption.</t>
  </si>
  <si>
    <t>Raw groundnuts  roasted groundnuts</t>
  </si>
  <si>
    <t xml:space="preserve"> ICS codes: 67.080.10  67.200  67.200.20  HS codes: 200811  20081  1202 </t>
  </si>
  <si>
    <t>G/TBT/N/UGA/557</t>
  </si>
  <si>
    <t>DUS DEAS 796:2016  Palm stearin - Specification (17 pages  in English)</t>
  </si>
  <si>
    <t>This Draft Uganda Standard specifies the requirements and methods of sampling and test for crude and processed palm stearin derived from fleshy mesocarp of the fruit of the oil palm (Elaeis guineensis).</t>
  </si>
  <si>
    <t>Palm stearin</t>
  </si>
  <si>
    <t xml:space="preserve"> ICS codes: 67.200  67.200.20  HS codes: 1503  15132 </t>
  </si>
  <si>
    <t>G/TBT/N/UGA/556</t>
  </si>
  <si>
    <t>DUS DEAS 889:2016  Groundnuts for oil extraction - Specification (17 pages  in English)</t>
  </si>
  <si>
    <t>This Draft Uganda Standard specifies the requirements  methods of sampling and test for shelled groundnuts of the fruit of the plant Arachis hypogea intended for oil extraction.</t>
  </si>
  <si>
    <t>Groundnuts for oil extraction</t>
  </si>
  <si>
    <t xml:space="preserve"> ICS codes: 67.080.10  67.200  67.200.20  HS codes: 12  200811  1202 </t>
  </si>
  <si>
    <t>G/TBT/N/UGA/555</t>
  </si>
  <si>
    <t>DUS DEAS 894:2016  Fresh onions - Specification (15 pages  in English)</t>
  </si>
  <si>
    <t>This draft Uganda standard specifies requirements and methods of sampling and test for fresh bulb onions Allium cepa (L.) of the family Alliaceae to be supplied to the consumer. This standard does not include onions for industrial processing.</t>
  </si>
  <si>
    <t>Fresh onions</t>
  </si>
  <si>
    <t xml:space="preserve"> ICS codes: 67.080.20  HS codes: 0703  071220 </t>
  </si>
  <si>
    <t>G/TBT/N/UGA/554</t>
  </si>
  <si>
    <t>DUS DEAS 893:2016  Chili sauce - Specification (23 pages  in English)</t>
  </si>
  <si>
    <t>This draft Uganda standard specifies requirements and methods of sampling and test for chilli sauce for human consumption.</t>
  </si>
  <si>
    <t>Chilli sauce</t>
  </si>
  <si>
    <t xml:space="preserve"> ICS codes: 67.080.20  HS codes: 2103 </t>
  </si>
  <si>
    <t>G/TBT/N/UGA/551</t>
  </si>
  <si>
    <t>DUS DEAS 748:2016  Fresh potato tuber (ware potato tuber) - Specification (17 pages  in English)</t>
  </si>
  <si>
    <t>This draft Uganda standard specifies requirements and methods of sampling and test for ware potato tuber of varieties (cultivars) grown from (Solanum tuberosum L.) of the family Solanaceae for human consumption. It does not cover the requirements for seed potato tuber.</t>
  </si>
  <si>
    <t>Fesh potato tuber</t>
  </si>
  <si>
    <t xml:space="preserve"> ICS codes: 67.080.20  HS codes: 0701  071010  200520  200410 </t>
  </si>
  <si>
    <t>G/TBT/N/UGA/546</t>
  </si>
  <si>
    <t>DUS DEAS 66-3:2016  Tomato products - Specification - Part 3: Tomato juice. (16 pages  in English)</t>
  </si>
  <si>
    <t>This draft Uganda standard specifies requirements and method of sampling and test for unfermented but fermentable juice  intended for direct consumption  obtained from fresh tomatoes (Lycopersicum esculentum L.)  puree  paste or concentrates.</t>
  </si>
  <si>
    <t xml:space="preserve"> ICS codes: 67.080.20  HS codes: 200950 </t>
  </si>
  <si>
    <t>G/TBT/N/UGA/545</t>
  </si>
  <si>
    <t>DUS DEAS 66-2:2016  Tomato products - Specification - Part 2: Tomato sauce and ketchup (23 pages  in English)</t>
  </si>
  <si>
    <t>This draft Uganda standard specifies requirements for tomato sauce and ketchup (also known as catsup and catchup)</t>
  </si>
  <si>
    <t>Tomato sauce  tomato ketchup</t>
  </si>
  <si>
    <t xml:space="preserve"> ICS codes: 67.080.20  HS codes: 210320 </t>
  </si>
  <si>
    <t>G/TBT/N/KEN/490</t>
  </si>
  <si>
    <t>DEAS 887: 2016 - Crude and Semi Refined palm oil - Specification (5 pages  in English).</t>
  </si>
  <si>
    <t xml:space="preserve">  800x600    Normal 0     false false false  EN-US X-NONE X-NONE            MicrosoftInternetExplorer4                                                                                                                                                            /* Style Definitions */ table.MsoNormalTable {mso-style-name:"Table Normal"  mso-tstyle-rowband-size:0  mso-tstyle-colband-size:0  mso-style-noshow:yes  mso-style-priority:99  mso-style-parent:""  mso-padding-alt:0in 5.4pt 0in 5.4pt  mso-para-margin:0in  mso-para-margin-bottom:.0001pt  mso-pagination:widow-orphan  font-size:10.0pt  font-family:"Times New Roman" "serif" }   Specifies the requirements and methods of sampling and test for crude and semi refined oils (neutralized and/or bleached) derived from the fleshy mesocarp of the fruit of palm (Elaeis guineensis) intended for further industrial processing.</t>
  </si>
  <si>
    <t xml:space="preserve"> HS codes: 1511 </t>
  </si>
  <si>
    <t>G/TBT/N/BRA/682</t>
  </si>
  <si>
    <t>Ordinance Nº 14  15 July 2016 (Instrução Normativa - SDA/MAPA Nº 14/2016 (3 pages  in Portuguese)</t>
  </si>
  <si>
    <t>Technical regulationamending Ordinance Nº SDA Nº 65  21 November 2006  by rewording the Annexes I  II and III and including Annexe IV  as well as rewording item 8.3 of the Ordinance Nº 4/2007  in order to establish the criteria and procedures for the manufacture  marketing and use of feed products with veterinary medicines of the class of antimicrobials and antiparasitic in food-producing animals  to ensure an adequate level of human protection and animal health.</t>
  </si>
  <si>
    <t xml:space="preserve"> HS codes: 2309 </t>
  </si>
  <si>
    <t>G/TBT/N/CHN/1177</t>
  </si>
  <si>
    <t>National Standards of the P.R.C  the No. 1 amendment of GB18350 2013 Denatured fuel ethanol (1 page  in Chinese)</t>
  </si>
  <si>
    <t xml:space="preserve">This Standard revises the sulphur requirement for denatured fuel ethanol. </t>
  </si>
  <si>
    <t>Denatured fuel ethanol</t>
  </si>
  <si>
    <t xml:space="preserve"> ICS codes: 75.160.20  HS codes: 220720 </t>
  </si>
  <si>
    <t>G/TBT/N/BRA/679</t>
  </si>
  <si>
    <t>Draft Ordinance Nº. 51  31 May 2016 (Portaria Nº 51  de 31 de Maio de 2016) (1 page  in Portuguese)</t>
  </si>
  <si>
    <t>Draft Technical Regulation Establishing the Identity and Quality Standards for Dietary and Low-Calorie Non-Alcoholic Beverages that should have the content of sugars normally added in conventional drink  entirely replaced by low-calorie or non-caloric  natural or artificial sweeteners  among others requirements  in order to review the Normative Instruction Nº 30  27 September 1999 (Instrução Normativa Nº 3  de 27 de Setembro de 1999).</t>
  </si>
  <si>
    <t>HS: 2201  Waters  natural or artificial mineral  aerated  not sweetened or flavoured.</t>
  </si>
  <si>
    <t xml:space="preserve"> HS codes: 2201 </t>
  </si>
  <si>
    <t>G/TBT/N/ISR/934</t>
  </si>
  <si>
    <t>SI 1006 - Marzipan (12 pages  in Hebrew)</t>
  </si>
  <si>
    <t>Revision of the Mandatory Standard SI&amp;nbsp 1006  dealing with marzipan. This draft standard revision is based on the German Document "Leitsätze für Ölsamen und daraus hergestellte Massen und Süßwaren" dealing with oil seeds and raw materials for sweets  from 27 January 1965 and its update of 08 January 2010. This new revised standard will&amp;nbsp enter into force 24 months after publication in Israel Official Gazette.</t>
  </si>
  <si>
    <t xml:space="preserve">Marzipan </t>
  </si>
  <si>
    <t xml:space="preserve"> ICS codes: 67.180.10  HS codes: 170490 </t>
  </si>
  <si>
    <t>G/TBT/N/ISR/933</t>
  </si>
  <si>
    <t>SI 909 - Instant coffee (9 pages  in Hebrew)</t>
  </si>
  <si>
    <t>Revision of the Mandatory Standard SI&amp;nbsp 909  dealing with instant coffee.&amp;nbsp The major differences between the old version and this new revised draft standard are as follow:Updates the test methods and the requirements and adds references to International Standards (Chapter C)Deletes the paragraph dealing with complianceAdds references to Israel Ministry of Health's Regulations dealing with mycotoxins  heavy metals and pesticide residues</t>
  </si>
  <si>
    <t>Instant coffee</t>
  </si>
  <si>
    <t xml:space="preserve"> ICS codes: 67.140.20  HS codes: 0901 </t>
  </si>
  <si>
    <t>G/TBT/N/BRA/677</t>
  </si>
  <si>
    <t>Draft Resolution nº 165/2016  23 May 2016  regarding the technical regulation on ethylic alcohol (3 pages  in Portuguese)</t>
  </si>
  <si>
    <t xml:space="preserve">Draft Resolution Nº 165  23 May 2016  regarding the technical regulation on ethylic alcohol to be used in human or animal health establishments.&amp;nbsp </t>
  </si>
  <si>
    <t xml:space="preserve">Ethylic Alcohol  </t>
  </si>
  <si>
    <t xml:space="preserve"> HS codes: 2207 </t>
  </si>
  <si>
    <t>G/TBT/N/ISR/928</t>
  </si>
  <si>
    <t>SI 370 - Fat spreads and other water in oil emulsion spreads (5 pages  in English  9 pages  in Hebrew)</t>
  </si>
  <si>
    <t>Revision of the Mandatory Standard SI 370  dealing with fat spreads and other water in oil emulsion spreads  such as margarine. This draft standard revision adopts the Codex Standard 256 - 2007 and therefore is significantly differ from the old standard. The major differences between the old version and this new revised draft standard are as follow:Adds to paragraph 4 dealing with food additives a reference to Israel's Public Health Regulations (Food) (Food Additives)Adds&amp;nbsp a new paragraph 5 dealing with food contaminantsAdds a new paragraph 6 dealing with hygiene and changes the microbiological requirementsChanges paragraph 8 dealing with the methods of analysis&amp;nbsp and samplingThis new revised standard will&amp;nbsp enter into force 12 months after publication in Israel Official Gazette.</t>
  </si>
  <si>
    <t>Fat spreads and other water in oil emulsion spreads</t>
  </si>
  <si>
    <t xml:space="preserve"> ICS codes: 67.200.10  HS codes: 1517 </t>
  </si>
  <si>
    <t>G/TBT/N/ISR/924</t>
  </si>
  <si>
    <t>SI 1295 - Dried or semi-dried fruits (10 pages  in Hebrew)</t>
  </si>
  <si>
    <t>Revision of the Mandatory Standards SI 1075  SI 1130  SI 1295 and SI 1312  to be replaced with SI 1295  dealing with dried or semi-dried fruits  such as raisins  plums  figs and other dried fruits in general but excludes dates. The major differences between the old version and this new revised draft standard are as follow:Adds references to Israel's Public Health Regulations (Food) (Food additives) and does not provide the detailed list in the standard (paragraph 2.2.2) Adds a requirement that the maximum heavy metals content will comply with the Israel's MOH relevant document (paragraph 2.3.1) and that the pesticide residues will comply with MOH relevant regulations (paragraph 2.3.2) Adds a new requirement to mark the water content in hydrated fruits (paragraph 2.6) Adds new marking requirements for water content and for the maximum free water activity allowed (paragraph 3.1) Provides a list of defects allowed in raisins  dried figs and dried plums&amp;nbsp (paragraph 3.3) Changes the microbiological requirements&amp;nbsp (paragraph 3.4).Both the old standards and this new revised standard will apply for a period of 1 year from publication in Israel Official Gazette. During this time products may be tested according to the old or the new revised standards.</t>
  </si>
  <si>
    <t>Dried fruits</t>
  </si>
  <si>
    <t xml:space="preserve"> ICS codes: 67.080  HS codes: 0806  0804  0803  0813  0805 </t>
  </si>
  <si>
    <t>G/TBT/N/BRA/675</t>
  </si>
  <si>
    <t>Ordinance Nº 43  18 May 2016 (Portaria Nº 43  de 18 de Maio de 2016). (21 pages  in Portuguese).</t>
  </si>
  <si>
    <t>Draft technical regulation to set the official identity  quality standards for wine and derivatives of grape and wine products as well as the requirements to be acquainted.It Revokes:Ordinance Nº 1.012  17 November 1978  Ordinance Nº 91  19 July 1988  Ordinance Nº 229  25 October 1988  Annex XII and XXII of Ordinance (Instrução Normativa) Nº 01  7 January 2000  Ordinance (Instrução Normativa) Nº 2  27 January 2005 Ordinance (Instrução Normativa) Nº 5  6 May 2005.</t>
  </si>
  <si>
    <t>(HS 2204) Wine  (HS 200960) Grapejuice  sweetend or not  (HS 220900) Vinegar.</t>
  </si>
  <si>
    <t xml:space="preserve"> HS codes: 220900  2204 </t>
  </si>
  <si>
    <t>Spain</t>
  </si>
  <si>
    <t>G/TBT/N/ESP/33</t>
  </si>
  <si>
    <t xml:space="preserve">ACEITUNAS DE MESA: incluye:  20019065 Aceitunas preparadas o conservadas en vinagre o acético y  20057000 aceitunas preparadas o conservadas excepto en vinagre o en ácido acético  sin congelar. </t>
  </si>
  <si>
    <t xml:space="preserve"> HS codes: 200190  200570 </t>
  </si>
  <si>
    <t>G/TBT/N/MEX/307</t>
  </si>
  <si>
    <t xml:space="preserve">Alcohol etílico desnaturalizado (partida arancelaria: 22072001) </t>
  </si>
  <si>
    <t xml:space="preserve"> HS codes: 220720 </t>
  </si>
  <si>
    <t>G/TBT/N/TPKM/236</t>
  </si>
  <si>
    <t>The documents required for the importation of non-genetically modified colza  colza seeds  sweet corn  sugar beet and genetically modified colza  sweet corn  sugar beet (1 page  in English)</t>
  </si>
  <si>
    <t>Based on Article 30 of the "Act Governing Food Safety and Sanitation" and Article 4 of the "Regulations of Inspection of Imported Foods and Related Products"  the FDA would like to request the food businesses which import non-genetically modified colza  sweet corn sugar beet and genetically modified colza sweet corn sugar beet to submit the documents required by the Food and Drug Administration.</t>
  </si>
  <si>
    <t xml:space="preserve">  1) Non-genetically modified colza  colza seeds  sweet corn and sugar beet under CCC code 0704.90.90.12-7  0709.99.10.20-0  0710.40.00.20-9  0710.80.90.42-5  0712.90.29.20-3  1205.10.00.20-5  1205.90.00.20-8 and 1212.91.00.20-8.  2) Genetically modified colza  colza seeds  sweet corn and sugar beet under CCC code 0704.90.90.11-8  0709.99.10.10-2  0710.40.00.10-1  0710.80.90.41-6  0712.90.29.10-5  1205.10.00.10-7  1205.90.00.10-0 and 1212.91.00.10-0.  </t>
  </si>
  <si>
    <t xml:space="preserve"> HS codes: 121291  071080  120510  070490  070990  071040  071290  120590 </t>
  </si>
  <si>
    <t>G/TBT/N/IDN/105</t>
  </si>
  <si>
    <t xml:space="preserve">1. Regulation of Minister of Industry No.60/M-IND/PER/7/2015 on Mandatory Implementation of Indonesia National Standard for Biscuit   2. Regulation of Minister of Industry No. 96/M-IND/PER/11/2015 concerning the Amendment of the Regulation No. 60/M-IND/PER/7/2015 on Mandatory Implementation of Indonesia National Standard for Biscuit (12 pages  in Indonesian)   </t>
  </si>
  <si>
    <t>This regulation states that all Biscuit produced within the country or imported  distributed and&amp;nbsp  marketed&amp;nbsp  in&amp;nbsp  the&amp;nbsp  country&amp;nbsp  shall&amp;nbsp  fulfil&amp;nbsp  the&amp;nbsp  SNI&amp;nbsp  requirements.&amp;nbsp  The&amp;nbsp  producers&amp;nbsp  which produced these products therefore shall&amp;nbsp  be packed and comply with the requirements of SNI proven by having Product Certificate for Using SNI Mark and put SNI mark on every product. The&amp;nbsp  product&amp;nbsp  certificate&amp;nbsp  on&amp;nbsp  SNI&amp;nbsp  marking&amp;nbsp  shall&amp;nbsp  be&amp;nbsp  issued&amp;nbsp  by&amp;nbsp  a Product&amp;nbsp  Certification&amp;nbsp  Body which has been accredited by KAN and appointed by the Minister of Industry through:1.&amp;nbsp  Testing of the conformity of the products quality against SNI requirements  and2.&amp;nbsp  Audit&amp;nbsp  on&amp;nbsp  the&amp;nbsp  implementation&amp;nbsp  of&amp;nbsp  the&amp;nbsp  Quality&amp;nbsp  Management&amp;nbsp  System&amp;nbsp  (QMS)&amp;nbsp  SNI&amp;nbsp  ISO 9001:2008 or its revision or other Food Safety Management Sytem. Directorate General of Agro Based Industry  Ministry of Industry is the institution that is responsible for the implementation of this decree and shall provide a technical guidance of the decree  which cover procedure of Product Certification and SNI Marking. Products&amp;nbsp  which&amp;nbsp  are&amp;nbsp  distributed&amp;nbsp  in&amp;nbsp  domestic&amp;nbsp  market&amp;nbsp  that&amp;nbsp  originated&amp;nbsp  domestically&amp;nbsp  and imported&amp;nbsp  shall&amp;nbsp  meet&amp;nbsp  the&amp;nbsp  requirements&amp;nbsp  consisted&amp;nbsp  in&amp;nbsp  SNI&amp;nbsp  2973:2011 &amp;nbsp  which&amp;nbsp  specify definition  quality requirements and testing method.</t>
  </si>
  <si>
    <t>Ex. 1905.31.10.00   Ex. 1905.31.20.00   Ex. 1905.32.00.00  Ex. 1905.90.20.00    Ex. 1905.90.90.00</t>
  </si>
  <si>
    <t xml:space="preserve"> HS codes: 190532  190531  190590 </t>
  </si>
  <si>
    <t>G/TBT/N/NZL/74</t>
  </si>
  <si>
    <t>Reviewing Aspects of the Engine Fuel Specifications Regulations 2011: Discussion Paper (59 pages)</t>
  </si>
  <si>
    <t>A consultation document outlining various proposals to amend existing fuel specifications as delineated under the Engine Fuel Specifications Regulations 2011.Proposals relevant to the TBT Committee include those that are designed to:·&amp;nbsp &amp;nbsp &amp;nbsp &amp;nbsp &amp;nbsp &amp;nbsp &amp;nbsp &amp;nbsp &amp;nbsp &amp;nbsp &amp;nbsp &amp;nbsp &amp;nbsp &amp;nbsp &amp;nbsp  Align with international specifications:·&amp;nbsp &amp;nbsp &amp;nbsp &amp;nbsp &amp;nbsp &amp;nbsp &amp;nbsp  Maximum sulphur for petrol reduced from 50 mg/kg to 10 mg/kg by 1 July 2018·&amp;nbsp &amp;nbsp &amp;nbsp &amp;nbsp &amp;nbsp &amp;nbsp &amp;nbsp  Maximum oxygen content introduced of 2.7 percent mass for petrol blends with a maximum ethanol content of 5.0 percent  and 3.7 percent mass for petrol with a maximum ethanol content of 10.0 percent. Petrol blends with ethanol include mono-alcohols and ethers with a final boiling point no higher than 210°C·&amp;nbsp &amp;nbsp &amp;nbsp &amp;nbsp &amp;nbsp &amp;nbsp &amp;nbsp  Maximum methanol content introduced of 3.0 percent volume. The following stipulations for petrol blended with methanol would also be introduced:·&amp;nbsp &amp;nbsp &amp;nbsp &amp;nbsp &amp;nbsp &amp;nbsp &amp;nbsp &amp;nbsp  The methanol component of any blend of petrol and methanol must contain a corrosion inhibitor·&amp;nbsp &amp;nbsp &amp;nbsp &amp;nbsp &amp;nbsp &amp;nbsp &amp;nbsp &amp;nbsp  Co-solvent must be added·&amp;nbsp &amp;nbsp &amp;nbsp &amp;nbsp &amp;nbsp &amp;nbsp &amp;nbsp &amp;nbsp  The flexible volatility index maximum allowed for regular and premium grade petrol blended with more than 1 percent and not more than 3 percent volume methanol is:&amp;nbsp 115.0 summer  120.0 autumn and spring  130.0 winter. Petrol that complies with the previous season's quality  and that is stored in a filling-station tank to which fewer than 3 deliveries of petrol have been made since 6 weeks before the beginning of the season  is regarded as complying with this specification for up to 6 weeks after the beginning of the season  and·&amp;nbsp &amp;nbsp &amp;nbsp &amp;nbsp &amp;nbsp &amp;nbsp &amp;nbsp &amp;nbsp  The maximum vapour pressure allowed for regular and premium grade petrol blended with more than 1 percent and not more than 3 percent methanol is:&amp;nbsp Auckland and Northland:&amp;nbsp 72 kPa summer  87 kPa autumn and spring  97 kPa winter  rest of North Island:&amp;nbsp 77 kPa summer  87 kPa autumn and spring  97 kPa winter  South Island:&amp;nbsp 82 kPa summer  92 kPa autumn and spring  102 kPa winter. Petrol that complies with the previous season's quality  and that is stored in a filling-station tank to which fewer than 3 deliveries of petrol have been made since 6 weeks before the beginning of the season  is regarded as complying with this specification for up to 6 weeks after the beginning of the season.·&amp;nbsp &amp;nbsp &amp;nbsp &amp;nbsp &amp;nbsp &amp;nbsp &amp;nbsp &amp;nbsp  If petrol contains methanol greater than 1 percent by volume  the seller of the petrol must ensure that the dispensing pump or container is clearly marked to display:·&amp;nbsp &amp;nbsp &amp;nbsp &amp;nbsp &amp;nbsp &amp;nbsp &amp;nbsp &amp;nbsp  The maximum percentage by volume of methanol that the petrol contains (which must be no greater than the limit set out in Schedule 1 of the Regulations)  and·&amp;nbsp &amp;nbsp &amp;nbsp &amp;nbsp &amp;nbsp &amp;nbsp &amp;nbsp &amp;nbsp  The words "May not be suitable for all vehicles/engines. Check with the manufacturer before use."·&amp;nbsp &amp;nbsp &amp;nbsp &amp;nbsp &amp;nbsp &amp;nbsp &amp;nbsp  Biodiesel blend limit in diesel increased from 5% volume to 7% volume·&amp;nbsp &amp;nbsp &amp;nbsp &amp;nbsp &amp;nbsp &amp;nbsp &amp;nbsp  Minimum oxidation stability in biodiesel increased from 6 hours to 8 hours·&amp;nbsp &amp;nbsp &amp;nbsp &amp;nbsp &amp;nbsp &amp;nbsp &amp;nbsp  New standard for petrol blended with more than 70 percent and not more than 85 percent ethanol with the following specifications:·&amp;nbsp &amp;nbsp &amp;nbsp &amp;nbsp &amp;nbsp &amp;nbsp &amp;nbsp &amp;nbsp  Acidity (as acetic acid) – 0.006% m/m maximum to be tested using ASTM D1613·&amp;nbsp &amp;nbsp &amp;nbsp &amp;nbsp &amp;nbsp &amp;nbsp &amp;nbsp &amp;nbsp  Copper strip corrosion (3 hours at 500C) – No. 1 maximum to be tested using ASTM D130·&amp;nbsp &amp;nbsp &amp;nbsp &amp;nbsp &amp;nbsp &amp;nbsp &amp;nbsp &amp;nbsp  Ethanol – 70-85% v/v to be tested using ASTM D5501·&amp;nbsp &amp;nbsp &amp;nbsp &amp;nbsp &amp;nbsp &amp;nbsp &amp;nbsp &amp;nbsp  Final boiling point (distillation) – 2100C maximum to be tested using ASTM D86·&amp;nbsp &amp;nbsp &amp;nbsp &amp;nbsp &amp;nbsp &amp;nbsp &amp;nbsp &amp;nbsp  Inorganic chloride – 1 mg/kg maximum to be tested using ASTM D7319 or ASTM D7328·&amp;nbsp &amp;nbsp &amp;nbsp &amp;nbsp &amp;nbsp &amp;nbsp &amp;nbsp &amp;nbsp  Methanol – 1.0% v/v maximum to be tested using ASTM D5501·&amp;nbsp &amp;nbsp &amp;nbsp &amp;nbsp &amp;nbsp &amp;nbsp &amp;nbsp &amp;nbsp  pHe – 6.5-9.0 to be tested using ASTM D6423·&amp;nbsp &amp;nbsp &amp;nbsp &amp;nbsp &amp;nbsp &amp;nbsp &amp;nbsp &amp;nbsp  Silver strip corrosion – Class 1 maximum to be tested using ASTM D130·&amp;nbsp &amp;nbsp &amp;nbsp &amp;nbsp &amp;nbsp &amp;nbsp &amp;nbsp &amp;nbsp  Solvent washed gum – 5 mg/100 mL maximum to be tested using ASTM 3831·&amp;nbsp &amp;nbsp &amp;nbsp &amp;nbsp &amp;nbsp &amp;nbsp &amp;nbsp &amp;nbsp  Sulphur – 50 mg/kg maximum up to 31 December 2017 and then 10 mg/kg maximum from 1 July 2018 to be tested using ASTM D5453 or IP 497·&amp;nbsp &amp;nbsp &amp;nbsp &amp;nbsp &amp;nbsp &amp;nbsp &amp;nbsp &amp;nbsp  Vapour pressure (DVPE) – for regular and premium grade petrol blended with more than 70% and less than 85% volume ethanol  the minimum vapour pressure allowed is 38 kPa and the maximum vapour pressure allowed is:&amp;nbsp Auckland and Northland:&amp;nbsp 62 kPa summer  70 kPa autumn and spring  80 kPa winter  rest of North Island:&amp;nbsp 65 kPa summer  75 kPa autumn and spring  80 kPa winter  South Island:&amp;nbsp 70 kPa summer  80 kPa autumn and spring  85 kPa winter to be tested using ASTM D5191·&amp;nbsp &amp;nbsp &amp;nbsp &amp;nbsp &amp;nbsp &amp;nbsp &amp;nbsp &amp;nbsp  Water – 1.0% m/m maximum to be testing using ASTM E203 or EN 15489·&amp;nbsp &amp;nbsp &amp;nbsp &amp;nbsp &amp;nbsp &amp;nbsp &amp;nbsp &amp;nbsp &amp;nbsp &amp;nbsp &amp;nbsp &amp;nbsp &amp;nbsp &amp;nbsp &amp;nbsp  Legal clarifications to reflect original policy intent:·&amp;nbsp &amp;nbsp &amp;nbsp &amp;nbsp &amp;nbsp &amp;nbsp &amp;nbsp  Calculation of "pool averages" for aromatics in petrol is to be clarified so that in any six month period the average aromatic content does not exceed 42% volume.·&amp;nbsp &amp;nbsp &amp;nbsp &amp;nbsp &amp;nbsp &amp;nbsp &amp;nbsp &amp;nbsp &amp;nbsp &amp;nbsp &amp;nbsp &amp;nbsp &amp;nbsp &amp;nbsp &amp;nbsp  Consequential amendments:·&amp;nbsp &amp;nbsp &amp;nbsp &amp;nbsp &amp;nbsp &amp;nbsp &amp;nbsp  The maximum density for diesel blended with more than 1% and not more than 7% volume fatty acid methyl esters is increased to 854 kg/m3"Maximum sulphur level in ethanol reduced to 10 mg/kg by 1 July 2018</t>
  </si>
  <si>
    <t>Engine fuels  2710.12.15  2710.12.23  2710.12.19  2710.12.29  2710.12.17  2710.12.25  2710.12.19  2710.12.29  2710.19.32  2710.19.36  2207.20.23  2207.20.35  3824.90.87  3824.90.93  3826.00.10  3826.00.30</t>
  </si>
  <si>
    <t>Prevention of deceptive practices and consumer protection  Protection of Human health or Safety  Protection of the environment</t>
  </si>
  <si>
    <t>G/TBT/N/MEX/302</t>
  </si>
  <si>
    <t>Bebidas alcohólicas (Partida: 22/ ICS: 67.160.10)</t>
  </si>
  <si>
    <t xml:space="preserve"> HS codes: 220890 </t>
  </si>
  <si>
    <t>G/TBT/N/ISR/904</t>
  </si>
  <si>
    <t>SI 262 - Pasta (12 pages  in Hebrew)</t>
  </si>
  <si>
    <t>Revision of the Mandatory Standard SI&amp;nbsp 262  dealing with pasta. This draft standard is based on the Italian Standard Presidential Decree No 187  dated 9 February 2001 for the requirements of pasta made of whole durum wheat  but as opposed to the Italian&amp;nbsp Standard  the Israeli&amp;nbsp Standards allows&amp;nbsp producing pasta not only from 100%&amp;nbsp durum wheat.Both the old standard and the new revised standard will apply for a period of 12 months from publication in Israel Official Gazette. During this time pasta products could be tested according to the old or the new standard. The labelling requirements should enter into force 2 years after publication in Israel's Official Gazette.</t>
  </si>
  <si>
    <t>Pasta</t>
  </si>
  <si>
    <t xml:space="preserve"> ICS codes: 67.060  HS codes: 1902 </t>
  </si>
  <si>
    <t>G/TBT/N/ISR/903</t>
  </si>
  <si>
    <t>SI 46 - Wheat flour (3 pages  in English  9 pages  in Hebrew)</t>
  </si>
  <si>
    <t xml:space="preserve">Revision of the Mandatory Standard SI&amp;nbsp 46  dealing with wheat flour. This draft standard revision adopts the&amp;nbsp Codex Standard 152 - 1985  Revision 1995. The major differences between the old version and this new revised draft standard are as follow:Changes the standard's scope to exclude semolina wheat&amp;nbsp and durum wheatDeletes the specific requirements for all types of floursAdds specific requirements for white and dark wheat flours &amp;nbsp used&amp;nbsp in producing white bread products  standard bread and Challahs (Jewish traditional bread)&amp;nbsp &amp;nbsp </t>
  </si>
  <si>
    <t xml:space="preserve"> ICS codes: 67.060  HS codes: 1101 </t>
  </si>
  <si>
    <t>G/TBT/N/ISR/900</t>
  </si>
  <si>
    <t>SI 7309 - Halwa (2 pages  in English  9 pages  in Hebrew)</t>
  </si>
  <si>
    <t>Revision of the Mandatory Standard SI 38  dealing with Halwa  to be replaced with SI 7309. This draft standard revision adopts the Codex Standard 309R - 2011.&amp;nbsp  The major differences between the old version and this new revised draft standard are as follow:Expends the standard's scope to include also Halwa made from whole sesame tahenaAdds a minimal requirement for sesame oilUpdated the microbiological requirements</t>
  </si>
  <si>
    <t>Halwa</t>
  </si>
  <si>
    <t xml:space="preserve"> ICS codes: 67.180.10  HS codes: 120740  170490 </t>
  </si>
  <si>
    <t>G/TBT/N/ISR/884</t>
  </si>
  <si>
    <t>SI 650 part 2 - Cocoa products: Cocoa powders (cocoas) and dry mixtures of cocoa and sugar (6 pages  in English  8 pages  in Hebrew)</t>
  </si>
  <si>
    <t>Revision of the Mandatory Standard SI 650 to be replaced with SI 650&amp;nbsp part 2 dealing with cocoa powders. This draft standard revision adopts the&amp;nbsp Codex Alimentarius Standard 105 - 1981  including its Revision 2001 and&amp;nbsp Amendment 2010 and therefore is significantly different from the old standard.&amp;nbsp  The major differences between the old version and this new revised draft standard are as follow:Expends the standard's scope to include also dry mixtures of cocoa and sugar Changes paragraph 6 dealing with labelling and applies the requirement of Israel Mandatory Standard SI 1145 Adds new hygiene and microbiological requirements (paragraph 4 and 5).This revision will enter into force 36 months after publication in Israel Official Gazette  Section of Government Notices. During this time cocoa powders will be tested according the old standard.</t>
  </si>
  <si>
    <t>Cocoa powders</t>
  </si>
  <si>
    <t xml:space="preserve"> ICS codes: 67.140.30  HS codes: 1805  180610 </t>
  </si>
  <si>
    <t>G/TBT/N/ISR/873</t>
  </si>
  <si>
    <t>SI 41 - Processed tomato concentrates (6 pages  in English  10 pages  in Hebrew)</t>
  </si>
  <si>
    <t>Revision of the Mandatory Standard SI 41 dealing with processed tomato concentrates. This draft standard revision is an adoption of&amp;nbsp the International Codex Alimentarius Standard 57 - 1981  Revision 2007  Amendment 2013 and therefore&amp;nbsp differs significantly&amp;nbsp from the old standard. In addition the standard's Hebrew section includes the following deviations from the adopted standard:Changes the normative references to relevant Israeli and foreign&amp;nbsp laws  regulations  standards and official documents Changes the 2 footnotes refer to paragraph 2.1 dealing with product definition  Changes paragraph 2.2 dealing with the following product designations: tomato puree  tomato paste  tomato paste with added sugar  tomato concentrates and tomato concentrates with added sugar Changes paragraph 3.1.2 dealing with&amp;nbsp other permitted ingredients listed under the essential composition and quality factors Changes some of the quality criteria listed in paragraph 3.2 Changes the requirements of paragraph 3.4 dealing with the lot acceptance Changes paragraph 3.5.1 dealing with the general product requirements and&amp;nbsp requires that&amp;nbsp the product will comply also with paragraph 201 of Israel standard SI 143 Changes the specific reference to Israeli laws  regulations  standards and official documents in the following paragraphs: paragraph 4 - food additives  paragraph 5 - contaminants&amp;nbsp &amp;nbsp and paragraph 6 - hygiene Deletes paragraph 4.1 dealing with acidity regulators Changes paragraph 6 and adds new requirements for preservation&amp;nbsp capability Adds a few changes to paragraph 7.1 dealing with the fill of container Changes some of the requirements of paragraph 8 dealing with labelling Changes the references for some of the methods for analysis and sampling mentioned in paragraph 9.This revision will enter into force 2 years after publication in Israel Official Gazette  Section of Government Notices.</t>
  </si>
  <si>
    <t>Processed tomato concentrates</t>
  </si>
  <si>
    <t xml:space="preserve"> ICS codes: 67.080.20  HS codes: 2002 </t>
  </si>
  <si>
    <t>G/TBT/N/ISR/863</t>
  </si>
  <si>
    <t>SI 1307 - Sweets: hard candies  toffees  compressed candies (19 pages  in Hebrew)</t>
  </si>
  <si>
    <t xml:space="preserve">The existing national Mandatory Standard  SI 1307  dealing with candies (hard  toffees and&amp;nbsp compressed)&amp;nbsp shall be declared voluntary. This declaration will remove trade barriers. </t>
  </si>
  <si>
    <t>Sweets (candies)</t>
  </si>
  <si>
    <t xml:space="preserve"> ICS codes: 67.180.10  HS codes: 1704 </t>
  </si>
  <si>
    <t>G/TBT/N/ISR/844</t>
  </si>
  <si>
    <t>SI 976 - Fresh sardines (3 pages  in Hebrew)</t>
  </si>
  <si>
    <t>The existing Mandatory Standard  SI&amp;nbsp 976  dealing with fresh sardines &amp;nbsp shall be declared voluntary. This declaration is initiated because&amp;nbsp fresh sardines are covered by other MOH regulations and therefore this standard was not in use and is now being cancelled.</t>
  </si>
  <si>
    <t>Fresh sardines</t>
  </si>
  <si>
    <t xml:space="preserve"> ICS codes: 67.120.30  HS codes: 0302  0304 </t>
  </si>
  <si>
    <t>G/TBT/N/ISR/843</t>
  </si>
  <si>
    <t>SI 1325 - Crumbs from bakery products ("breadings") (11 pages  in Hebrew)</t>
  </si>
  <si>
    <t>The existing Mandatory Standard  SI 1325  dealing with crumbs from bakery products ("breadings") &amp;nbsp shall be declared voluntary.</t>
  </si>
  <si>
    <t>Crumbs from bakery products</t>
  </si>
  <si>
    <t xml:space="preserve"> ICS codes: 67.180.20  HS codes: 190540 </t>
  </si>
  <si>
    <t>G/TBT/N/MEX/298</t>
  </si>
  <si>
    <t xml:space="preserve">Jarabe de agave (170260) </t>
  </si>
  <si>
    <t xml:space="preserve"> HS codes: 170260 </t>
  </si>
  <si>
    <t>G/TBT/N/KEN/456</t>
  </si>
  <si>
    <t>DKS 2193: 2015 - Mozzarella Cheese - Specification (8 pages  in English)</t>
  </si>
  <si>
    <t>This Kenya Standard applies to mozzarella cheese intended for direct consumption or for further processing  in conformity with the description in Clause 2 of this standard.Cheese is a very nutritious food which consists of a concentration of the constituents of milk  principally fat  casein and insoluble salts  together with water  in which small amounts of soluble salts  lactose  and albumin from milk are coagulated.There are various types of cheese that are produced and marketed worldwide. This Kenya Standard specifies the requirements for the type of semi-soft cheese being marketed in Kenya as mozzarella cheese.It includes a list of food additives  terminology and classification of cheeses  amongst other technical requirements which are important in checking cheese under the regulatory system to prevent adulteration.</t>
  </si>
  <si>
    <t xml:space="preserve"> ICS codes: 67.100.10  HS codes: 040690 </t>
  </si>
  <si>
    <t>G/TBT/N/ISR/823</t>
  </si>
  <si>
    <t>SI 877 - Frozen fruits and vegetables (6 pages  in Hebrew)</t>
  </si>
  <si>
    <t>First amendment to the Mandatory Standard SI 877 dealing with frozen fruits and vegetables. This amendment changes few of the microbiological requirements and test methods applied on frozen fruits and vegetables.</t>
  </si>
  <si>
    <t>Frozen fruits and vegetables</t>
  </si>
  <si>
    <t xml:space="preserve"> ICS codes: 67.080  HS codes: 0811 </t>
  </si>
  <si>
    <t>G/TBT/N/KEN/112/Rev.1</t>
  </si>
  <si>
    <t>KS 2128:2015 Tea industry – Code of Practice (14 pages  in English)</t>
  </si>
  <si>
    <t>This code of practice provides guidelines for achieving requirements for food safety and quality  worker health  safety and welfare  environmental protection and sustainability by stakeholders along the tea value chain in Kenya.</t>
  </si>
  <si>
    <t>Tea. Tea  whether or not flavoured (HS: 0902). Tea (ICS: 67.140.10)</t>
  </si>
  <si>
    <t xml:space="preserve"> HS codes: 0902 </t>
  </si>
  <si>
    <t>Protection of Human health or Safety  Protection of the environment  Quality requirements</t>
  </si>
  <si>
    <t>G/TBT/N/KEN/451</t>
  </si>
  <si>
    <t>KS 2405:2015: Instant Tea - Specification</t>
  </si>
  <si>
    <t>It specifies the requirements and prescribes the methods for sampling and test of instant tea of the species camellia sinensis (linneaus) O. Kuntze. This standard was revised to accommodate technological changes in the manufacture of instant tea  and to differentiate instant teas according to their solubility in water.</t>
  </si>
  <si>
    <t>Instant tea</t>
  </si>
  <si>
    <t xml:space="preserve"> ICS codes: 67.140.10  HS codes: 0902 </t>
  </si>
  <si>
    <t>G/TBT/N/KEN/452</t>
  </si>
  <si>
    <t>KS 2128:2015 Tea industry - Code of Practice (14 pages  in English)</t>
  </si>
  <si>
    <t>Tea</t>
  </si>
  <si>
    <t>G/TBT/N/UGA/524</t>
  </si>
  <si>
    <t>DUS DEAS 876:2015  Smoked Fish  Smoke-Flavoured and Smoke-Dried Fish - Specification (13 pages  in English)</t>
  </si>
  <si>
    <t>This draft Uganda Standard specifies requirements and methods of sampling and test for smoked fish  smoke flavoured fish and smoke dried fish intended for human consumption. The standard covers all fish species.</t>
  </si>
  <si>
    <t>Smoked fish.  Smoke flavoured fish.  Smoked dried fish.</t>
  </si>
  <si>
    <t xml:space="preserve"> ICS codes: 67.120.30  HS codes: 0305 </t>
  </si>
  <si>
    <t>G/TBT/N/CHN/1128</t>
  </si>
  <si>
    <t>National Standard of the People's Republic of China: Feed Additive B-Carotene (Synthetic) (10 pages  in Chinese)</t>
  </si>
  <si>
    <t>The standard stipulates the specifications  requirements  test methods  inspection rules  labelling  packaging  transportation and storage for feed additive B-Carotene (synthetic). Chapters 1  3 and 5 of the standard are mandatory  the rest&amp;nbsp is recommended.</t>
  </si>
  <si>
    <t>Feed additive-B-Carotene(synthetic)</t>
  </si>
  <si>
    <t xml:space="preserve"> ICS codes: 65.120  HS codes: 230990 </t>
  </si>
  <si>
    <t>United Kingdom</t>
  </si>
  <si>
    <t>G/TBT/N/GBR/25</t>
  </si>
  <si>
    <t>The Spirit Drinks (Cost of Verification) Regulations 2013 http://www.legislation.gov.uk/uksi/2013/2949/pdfs/uksi_20132949_en.pdf   (8 pages  in English).</t>
  </si>
  <si>
    <t>The Spirit Drinks (Cost of Verification) Regulations 2013 implement Article 22 of Regulation (EC) No 110/2008 of the European Parliament and of the Council on the definition  description  presentation  labelling and the protection of geographical indications of spirit drinks.Regulation 110/2008 makes provision for Member States to introduce measures ensuring that spirit drinks marketed with a protected geographical indication are produced in accordance with the specific conditions laid down in a technical file for the product In the UK  this affects Scotch Whisky  Irish Whiskey produced in Northern Ireland  Irish Cream produced in Northern Ireland and Somerset Cider Brandy  all of which are registered at Annex III to the Regulation.Article 22 of Regulation 110/2008 requires that a relevant spirit drink is verified by a competent authority as being compliant with its technical file before it can be placed on the market. The Article requires that the costs of verification for each relevant spirit drink are borne by the producers who are subject to the controls specified in the technical file.The Commissioners for Her Majesty’s Revenue and Customs (“the Commissioners”) are designated as the authority responsible for the verification of UK spirit drinks registered at Annex III to the Regulation and their task is to design and administer verification schemes for each relevant spirit drink to test for compliance with its technical file. The Commissioners must impose charges for the verification  details of which will be published in each verification scheme.The Spirit Drinks (Cost of Verification) Regulations 2013 provide for the publication of verification schemes for UK produced spirit drinks with a Geographical Indication. They also provide for charges for obtaining verification to be imposed on producers.</t>
  </si>
  <si>
    <t xml:space="preserve">Scotch whisky – 220830  Single malt whisky – 220830 30 00  Blended malt whisky  in containers holding 2 litres or less – 220830 41 00  Blended malt whisky  in containers holding more than 2 litres – 220830 49 00  Single grain whisky and blended grain whisky  in containers holding 2 litres or less – 220830 61 00   Single grain whisky and blended grain whisky and blended grain whisky  in containers holding more than 2 litres – 220830 69 00     </t>
  </si>
  <si>
    <t xml:space="preserve"> HS codes: 220830 </t>
  </si>
  <si>
    <t>G/TBT/N/BRA/639</t>
  </si>
  <si>
    <t>Draft Ordinance Act Nº. 50  26 May 2015 (Portaria SDA/MAPA Nº 50/2015) (3 pages  in Portuguese)</t>
  </si>
  <si>
    <t>Draft technical regulation establishing scientific and common names for the main species of fishes of commercial interest  to be adopted in the fishes - products labelling process to be inspected by the Ministry of Agriculture  Livestock and Food Supply.</t>
  </si>
  <si>
    <t xml:space="preserve">(HS 1604) Prepared or preserved fish </t>
  </si>
  <si>
    <t xml:space="preserve"> HS codes: 1604 </t>
  </si>
  <si>
    <t>G/TBT/N/UGA/488</t>
  </si>
  <si>
    <t>FDUS EAS 820:2014  Dextrose monohydrate (glucose powder) — Specification. (17 pages  in English).</t>
  </si>
  <si>
    <t>This Final Draft East African Standard specifies the requirements and the methods of sampling and test for dextrose monohydrate (glucose powder) intended for human consumption as food and industrial applications. This standard does not apply to dextrose monohydrate for intravenous applications.</t>
  </si>
  <si>
    <t xml:space="preserve"> ICS codes: 67.180.10  HS codes: 1702 </t>
  </si>
  <si>
    <t>G/TBT/N/UGA/487</t>
  </si>
  <si>
    <t>FDUS EAS 819:2014  Molasses for Industrial use   — Specification. (15 pages  in English).</t>
  </si>
  <si>
    <t>This Final Draft East African Standard specifies the requirements and the methods of sampling and test for molasses for industrial use. This standard does not cover molasses as a direct feed for livestock.</t>
  </si>
  <si>
    <t xml:space="preserve"> ICS codes: 67.180.10  HS codes: 170310  1703 </t>
  </si>
  <si>
    <t>G/TBT/N/UGA/485</t>
  </si>
  <si>
    <t>FDUS EAS 352:2014  Chewing gum and bubble gum  — Specification. (21 pages  in English).</t>
  </si>
  <si>
    <t>This Final Draft East African Standard specifies the requirements and the methods of sampling and test for chewing gum and bubble gum.</t>
  </si>
  <si>
    <t xml:space="preserve"> ICS codes: 67.180.10  HS codes: 170410 </t>
  </si>
  <si>
    <t>G/TBT/N/UGA/483</t>
  </si>
  <si>
    <t>FDUS EAS 349:2014  Liquid glucose (glucose syrup) — Specification. (15 pages  in English).</t>
  </si>
  <si>
    <t>This Final Draft East African Standard specifies the requirements and the methods of sampling and test for liquid glucose (glucose syrup) for human consumption.</t>
  </si>
  <si>
    <t xml:space="preserve"> ICS codes: 67.180.10  HS codes: 170230 </t>
  </si>
  <si>
    <t>G/TBT/N/TUR/61</t>
  </si>
  <si>
    <t>Turkish Food Codex Communiqué on Tahini  2015 (3 pages  in Turkish)</t>
  </si>
  <si>
    <t>The purpose of this&amp;nbsp Communiqué is to determine characteristics of Tahini. This Communiqué covers the production  preparation  processing  storage  handling and placing of the product on the market in compliance with the relevant technical and hygienic conditions.</t>
  </si>
  <si>
    <t>Tahini - (HS Code 2008)</t>
  </si>
  <si>
    <t>G/TBT/N/TUR/60</t>
  </si>
  <si>
    <t>Turkish Food Codex Communiqué on Tahini Halva  2015 (4 pages  in Turkish)</t>
  </si>
  <si>
    <t>The purpose of this&amp;nbsp Communiqué is to determine characteristics of Tahini Halva. This Communiqué covers the production  preparation  processing  storage  handling and placing of the product on the market in compliance with the relevant technical and hygienic conditions.</t>
  </si>
  <si>
    <t>Tahini Halva - (HS Code 1704)</t>
  </si>
  <si>
    <t xml:space="preserve"> HS codes: 1704 </t>
  </si>
  <si>
    <t>G/TBT/N/KEN/441</t>
  </si>
  <si>
    <t>DKS 28-2: 2014 Cheese - Specification Part 2: Cheddar Cheese (9 pages  in English)</t>
  </si>
  <si>
    <t>Prescribes the requirements for cheddar cheese for direct human consumption or for further processing.</t>
  </si>
  <si>
    <t xml:space="preserve"> ICS codes: 67.100.30  HS codes: 0406 </t>
  </si>
  <si>
    <t>G/TBT/N/KEN/440</t>
  </si>
  <si>
    <t>DKS 28-4: 2014 Cheese - Specification Part 4 Tilsiter/Tilster (8 pages  in English)</t>
  </si>
  <si>
    <t>Prescribes the requirements for tilsiter cheese for direct human consumption or for further processing.</t>
  </si>
  <si>
    <t xml:space="preserve"> ICS codes: 67.100.30  HS codes: 040630 </t>
  </si>
  <si>
    <t>G/TBT/N/KEN/439</t>
  </si>
  <si>
    <t>DKS 1790: 2014  Animal Ghee - Specification (5 pages  in English)</t>
  </si>
  <si>
    <t>Specifies the requirements and test methods for animal ghee  made fit for human consumption.</t>
  </si>
  <si>
    <t xml:space="preserve"> ICS codes: 67.200.10  HS codes: 150200 </t>
  </si>
  <si>
    <t>G/TBT/N/BRA/613</t>
  </si>
  <si>
    <t>Draft Ordinance Act Nº. 374  27 November 2014 (Portaria SDA/MAPA 374/2014). Establishes quality requirements for wine and derivatives of grape and wine (16 pages  in Portuguese)</t>
  </si>
  <si>
    <t>Draft technical regulation to set the official identity and quality standards for wine and derivatives of grape and wine  as well as the requirements to be fulfilled.</t>
  </si>
  <si>
    <t xml:space="preserve"> HS codes: 220900  2204  2009 </t>
  </si>
  <si>
    <t>G/TBT/N/TPKM/190</t>
  </si>
  <si>
    <t>The documents required for the importation of non-genetically modified maize (corn)  soybean and genetically modified maize (corn)  soybean (1 page  in English)</t>
  </si>
  <si>
    <t>Based on Article 30 of the "Act Governing Food Safety and Sanitation" and Article 4 of the "Regulations of Inspection of Imported Foods and Related Products" &amp;nbsp  the FDA would like to request the food businesses which import non-genetically modified maize (corn)  soybean and genetically modified maize (corn)  soybean to submit the documents required by the Food and Drug Administration.</t>
  </si>
  <si>
    <t>1) Non-genetically modified maize (corn)  and soybean under CCC code 1005.90.00.92-3  1102.20.00.20-7  1103.13.00.20-5  1104.23.00.20-2  1201.90.00.92-5 and 1208.10.00.20-2.   2) Genetically modified maize (corn)  and soybean under CCC code 1005.90.00.91-4  1102.20.00.10-9  1103.13.00.10-7  1104.23.00.10-4  1201.90.00.91-6 and 1208.10.00.10-4.</t>
  </si>
  <si>
    <t xml:space="preserve"> HS codes: 120100  110423  110313  100590  110220  120810 </t>
  </si>
  <si>
    <t>G/TBT/N/KEN/438</t>
  </si>
  <si>
    <t>Tea — Raw material for extraction — Specification (11 pages  in English)</t>
  </si>
  <si>
    <t>Specifies the requirements and prescribes methods of sampling and test for tea of the species Camellia sinensis (Linneaus) O. Kuntze intended for further processing into tea extracts.</t>
  </si>
  <si>
    <t>G/TBT/N/KEN/433</t>
  </si>
  <si>
    <t>Calcium phosphates Feed Grade — Specification</t>
  </si>
  <si>
    <t>Specifies the requirements for calcium phosphates feed grade for use in animal feeding.</t>
  </si>
  <si>
    <t xml:space="preserve"> HS codes: 2309  280512 </t>
  </si>
  <si>
    <t>Prevention of deceptive practices and consumer protection  Protection of animal or plant life or health</t>
  </si>
  <si>
    <t>G/TBT/N/KEN/431</t>
  </si>
  <si>
    <t>KS 28-1: 2014  Cheese — Specification Part 1: General (15 pages  in English)</t>
  </si>
  <si>
    <t>Specifies the general requirements for cheeses intended for direct consumption and/ or for further processing.</t>
  </si>
  <si>
    <t xml:space="preserve"> HS codes: 0406 </t>
  </si>
  <si>
    <t>G/TBT/N/KEN/427</t>
  </si>
  <si>
    <t>KS 2570: 2014 Genetically Modified Organisms and Derived Products (12 pages  in English)</t>
  </si>
  <si>
    <t>Describes the requirements for monitoring and surveillance of GMOs and derived products for the purpose of compliance with existing laws and to generate new information.</t>
  </si>
  <si>
    <t>Genetically modified Organisms</t>
  </si>
  <si>
    <t>G/TBT/N/KEN/429</t>
  </si>
  <si>
    <t>KS 28-3: 2014  Cheese — Specification Part 3: Gouda (10 pages  in English)</t>
  </si>
  <si>
    <t>Prescribes the requirements for Gouda cheese for direct human consumption or for further processing.</t>
  </si>
  <si>
    <t>G/TBT/N/ZAF/180</t>
  </si>
  <si>
    <t>Amendment of the Compulsory Specification for Frozen Shrimps (Prawns)  Langoustines and Crabs  and Products Derived Therefrom (VC 8031) (8 pages  in English)</t>
  </si>
  <si>
    <t>This amendment requires that Frozen shrimps (prawns)  langoustines and crabs and frozen products derived therefrom  for human consumption  which are to be offered for sale  comply with this compulsory specification and the requirements of the South African National Standard (SANS) 788: 2011 that applies to the handling  preparation  processing  packing  transportation  freezing  storage and quality.</t>
  </si>
  <si>
    <t xml:space="preserve"> ICS codes: 67.120.30  HS codes: 030613  030614 </t>
  </si>
  <si>
    <t>G/TBT/N/NIC/142</t>
  </si>
  <si>
    <t>ICS 65.020.20</t>
  </si>
  <si>
    <t xml:space="preserve"> HS codes: 0901 </t>
  </si>
  <si>
    <t>G/TBT/N/ARE/232</t>
  </si>
  <si>
    <t>Draft of Technical Regulation for Frozen Carrot (11 pages  in English  15 pages  in Arabic)</t>
  </si>
  <si>
    <t>This draft technical regulation is concerned with draft of Technical Regulation for Frozen Carrot  which specifies the definitions of the product  and the quality requirements  sampling  methods of testing  transportation  storage and labelling.</t>
  </si>
  <si>
    <t>Fruits. Vegetables (ICS 67.080)</t>
  </si>
  <si>
    <t xml:space="preserve"> ICS codes: 67.080  HS codes: 0710 </t>
  </si>
  <si>
    <t>G/TBT/N/UGA/432</t>
  </si>
  <si>
    <t>DEAS 831:2014  Frozen Fish Fillets — Specification (9 pages  in English)</t>
  </si>
  <si>
    <t>This draft East African Standard specifies the requirements and methods of sampling and test for frozen fish fillets intended for human consumption without further processing.</t>
  </si>
  <si>
    <t>Fish fillets and other fish meat (whether or not minced)  fresh  chilled or frozen</t>
  </si>
  <si>
    <t xml:space="preserve"> ICS codes: 67.120.30  HS codes: 0304 </t>
  </si>
  <si>
    <t>G/TBT/N/NZL/70</t>
  </si>
  <si>
    <t>Proposed Requirements for the Export of Infant Formula  Follow-on Formula  and Formulated Supplementary Foods for Young Children  MPI Discussion Paper No: 2014/32 (42 pages  in English)    Proposed Labelling Requirements for Export Infant Formula  Follow-on Formula  and Formulated Supplementary Foods for Young Children  MPI Discussion Paper No:    2014/31 (29 pages  in English)</t>
  </si>
  <si>
    <t>Proposals to improve monitoring and oversight of exports of infant formula from New&amp;nbsp Zealand  and to set minimum labelling requirements for exports of infant formula.</t>
  </si>
  <si>
    <t>Infant formula: 1901.10.09.00C  1901.90.09.28B</t>
  </si>
  <si>
    <t xml:space="preserve"> HS codes: 190110  190190 </t>
  </si>
  <si>
    <t>G/TBT/N/IDN/86</t>
  </si>
  <si>
    <t>Draft Decree of Minister of Industry on Mandatory Implementation of Indonesian National Standard for Instant Coffee (SNI 2983:2014) (10 pages  in English)</t>
  </si>
  <si>
    <t>This draft of decree states that all of instant coffee produced within the country or imported  distributed and marketed in the country shall fulfill the SNI requirements. The producers which produced these products therefore shall comply with those requirements proven by having Product Certificate for Using SNI Mark. The product certificate on SNI marking shall be issued by a Product Certification Body which has been accredited by KAN and appointed by the Minister of Industry through testing of the conformity of the products quality against SNI requirements. Directorate General of Agro Based Industries  Ministry of Industry is the institution that is responsible for the implementation of this decree and shall provide a technical guidance of the decree  which cover procedure of Product Certification and SNI Marking. Products which are distributed in domestic market that originated domestically and imported shall meet the requirements consisted in: - SNI 2983:2014 which specifies term and definition  quality requirements  sampling  testing method  testing acceptance  marking requirement and packaging (this standard is available in Indonesian).</t>
  </si>
  <si>
    <t xml:space="preserve">Instant Coffee HS. 2101.11.10.00      </t>
  </si>
  <si>
    <t xml:space="preserve"> HS codes: 210111 </t>
  </si>
  <si>
    <t>G/TBT/N/CAN/419</t>
  </si>
  <si>
    <t>Proposed Regulations Amending the Maple Products Regulations (MPR) (23 pages  available in English and French) .</t>
  </si>
  <si>
    <t>Canada is proposing to amend the current Maple Products Regulations under the Canada Agricultural Products Act to modernize the definition  the grade and colour class standards  and some label requirements for maple syrup. These proposed regulatory amendments would:1.&amp;nbsp &amp;nbsp &amp;nbsp  &amp;nbsp replace the current grading system with two new grade standards and four new colour classes 2.&amp;nbsp &amp;nbsp &amp;nbsp  &amp;nbsp introduce a maximum soluble solid content into the grading requirements 3.&amp;nbsp &amp;nbsp &amp;nbsp  &amp;nbsp introduce the term “exclusively”&amp;nbsp into the definition of maple syrup to reinforce the understanding that maple syrup is to be produced solely from maple sap  and4.&amp;nbsp &amp;nbsp &amp;nbsp  &amp;nbsp require production codes or lot numbers or both.</t>
  </si>
  <si>
    <t>Sirop d’érable (Code SH 17.02.20)</t>
  </si>
  <si>
    <t xml:space="preserve"> HS codes: 170220 </t>
  </si>
  <si>
    <t>G/TBT/N/LTU/25</t>
  </si>
  <si>
    <t xml:space="preserve">Technical Regulation of the Characterization  Production and Sales Presentation of Flour Confectionery Products (14 pages  in Lithuanian)  </t>
  </si>
  <si>
    <t xml:space="preserve">Technical regulation of the characterization  production and sales presentation of flour confectionery products is designed to define and classify various flour confectionery products and to set the basic raw material used in the production. Also  to identify general technological requirements  quality and safety indicators. In addition the technical regulation sets out labelling  importation and marketing requirements for flour confectionery products. The regulation does not apply to flour confectionery products that are manufactured using a special heat treatment technology - extruding. </t>
  </si>
  <si>
    <t>Flour confectionery products (HS 1905)</t>
  </si>
  <si>
    <t xml:space="preserve"> HS codes: 1905 </t>
  </si>
  <si>
    <t>G/TBT/N/LTU/24</t>
  </si>
  <si>
    <t>Technical regulation on the characterization  production and sales presentation of bread and bakery products (14 pages  in Lithuanian)</t>
  </si>
  <si>
    <t xml:space="preserve">Technical regulation on the characterization  production and sales of bread and bakery products is designed to define and classify various bread and bakery products  to set the basic raw material used in the production also to identify general technological requirements  quality and safety indicators. In addition technical regulation sets out labelling  importation and marketing requirements for bread and bakery products. This regulation does not apply to bread and bakery products that are manufactured using a special heat treatment technology - extruding. </t>
  </si>
  <si>
    <t>Bread and bakery products (HS 1905 )</t>
  </si>
  <si>
    <t>G/TBT/N/ECU/268</t>
  </si>
  <si>
    <t>1101.00.00  1102.20.00</t>
  </si>
  <si>
    <t xml:space="preserve"> HS codes: 110220  110100 </t>
  </si>
  <si>
    <t>G/TBT/N/KEN/418</t>
  </si>
  <si>
    <t xml:space="preserve"> KS 2443:2014 The animal feed industry- code of practice (8 pages  in English).</t>
  </si>
  <si>
    <t>Applies to the requirements for good manufacturing practices during the establishment of premises  sourcing  production  storage and distribution of animal feed and feed ingredients.</t>
  </si>
  <si>
    <t>Animal husbandry</t>
  </si>
  <si>
    <t xml:space="preserve"> ICS codes: 65.020.30  65.120  HS codes: 2309 </t>
  </si>
  <si>
    <t>Protection of animal or plant life or health  Quality requirements</t>
  </si>
  <si>
    <t>G/TBT/N/KEN/415</t>
  </si>
  <si>
    <t>KS 1753: 2014  Maize semolina — Specification  .</t>
  </si>
  <si>
    <t>Specifies the requirements and the methods of sampling and test for maize semolina.</t>
  </si>
  <si>
    <t>Maize samolina</t>
  </si>
  <si>
    <t xml:space="preserve"> ICS codes: 67.060  HS codes: 110423 </t>
  </si>
  <si>
    <t>G/TBT/N/KEN/420</t>
  </si>
  <si>
    <t>KS 2540: 2014  Pig feed premixes - Specification (8 pages  in English)</t>
  </si>
  <si>
    <t>Covers the specification for pig feed premixes</t>
  </si>
  <si>
    <t>Prevention of deceptive practices and consumer protection  Protection of Human health or Safety  Protection of animal or plant life or health</t>
  </si>
  <si>
    <t>G/TBT/N/ISR/805</t>
  </si>
  <si>
    <t>SI 7301: Rice (8 pages  in Hebrew  19 pages  in English).</t>
  </si>
  <si>
    <t xml:space="preserve">Revision of the partially Mandatory Standard SI 1208 to be replaced with SI 7301. This draft standard revision adopts the International Standard ISO 7301 - Third edition: 2011-03-01 and therefore is significantly different from the old version. The major differences between them are as follows:Expands the terms and definitions by adding a new paragraph 3a dealing with classification and naming Adds new&amp;nbsp contract specifications&amp;nbsp to Table 1 Adds a new paragraph 4.4 dealing microbiological requirements Changes the test methods and refers to the updated&amp;nbsp ISO standard.&amp;nbsp </t>
  </si>
  <si>
    <t>Rice</t>
  </si>
  <si>
    <t xml:space="preserve"> ICS codes: 67.060  HS codes: 1006 </t>
  </si>
  <si>
    <t>Germany</t>
  </si>
  <si>
    <t>G/TBT/N/DEU/12/Rev.1</t>
  </si>
  <si>
    <t>First Ordinance amending the Ordinance on the Quality and Labelling of Fuels (see Attachment) (24 pages  in German).</t>
  </si>
  <si>
    <t>This ordinance sets - in respect of road vehicles  non-road mobile machinery (including inland waterway vessels when not at sea)  agricultural and forestry tractors  and recreational craft when not at sea - technical specifications for fuels to be used with positive ignition and compression-ignition engines and labelling requirements for fuels. The ordinance applies especially to petrol  diesel fuels  gas oil  biodiesel  ethanol fuel  liquid petroleum gas  natural or bio gas as fuel  vegetable oil fuel and fuel oil.The amended ordinance will specify the maximum permissible content of sulphur in marine gasoil more precisely at 1.0 gram per kilogram  compared to the current 1 gram per kilogram. The content of sulphur in marine diesel oil is specified more precisely 15.0 gram per kilogram  compared to the current15 gram per kilogram. Gasoline with 91 octane is removed from the ordinance.The quality requirements for transport fuels are updated to the latest state of the art by citing the latest version of DIN or CEN standards in the Ordinance on the Quality and Labelling of Fuels.Quality requirements for Vegetable oil (all seeds) have been implemented in the ordinance.</t>
  </si>
  <si>
    <t>KN-Code: 2710 12 41  KN-Code: 2710 12 45  KN-Code: 2710 12 49  KN-Code: 2710 12 51  KN-Code: 2710 12 59  KN-Code: 2710 20 11  KN-Code: 2710 20 15  KN-Code: 2710 19 48  KN-Code: 3826 00 10  KN-Code: 3826 00 90  KN-Code 22 07  KN-Code 38 26   KN-Codes: 2711 12 11 – 2711 19 00  KN-Code: 2711 21 00  KN-Code 2711 29 00  HS: 1507 – 1518  KN-Codes: 2710 19 62 – 2710 19 68</t>
  </si>
  <si>
    <t xml:space="preserve"> HS codes: 1507  1516  1514  2207  2710  1510  1518  1513  1515  1508  1512  1517  1511  271129  271114  1509  271121  271019  271112  271119  271113 </t>
  </si>
  <si>
    <t>G/TBT/N/ECU/255</t>
  </si>
  <si>
    <t>19053100 19053200 19059010 19059090</t>
  </si>
  <si>
    <t xml:space="preserve"> HS codes: 190531  190590  190532 </t>
  </si>
  <si>
    <t>G/TBT/N/ECU/254</t>
  </si>
  <si>
    <t>1902.11.00  1902.19.00  1902.20.00  1902.30.00  1902.40.00  1904.30.00  1904.90.00  1905.10.00  1905.20.00</t>
  </si>
  <si>
    <t xml:space="preserve"> HS codes: 190230  190520  190211  190219  190490  190510  190430  190220  190240 </t>
  </si>
  <si>
    <t>G/TBT/N/TUR/57</t>
  </si>
  <si>
    <t>Turkish Food Codex Communiqué on Coffee and Coffee Extracts (6 pages  in Turkish)</t>
  </si>
  <si>
    <t>Turkish Food Codex Communiqué on Coffee and Coffee Extracts has been prepared in compliance with the Council Directive 1999/4 relating to coffee and coffee extracts. The Communiqué covers the provisions on definitions of green coffee beans  roasted coffee beans and ground coffee  chemical properties of ground coffee  chemical and physical characteristics of coffee extract  soluble coffee extract  soluble coffee or instant coffee. However  it does not cover “café torrefacto soluble”  other coffee products and chicory extracts.In this Communiqué  additional provisions are excerpted from other international regulations on coffee beans and necessary for execution of national arrangements on production  import and inspections of these products more efficiently  since coffee beans  roasted coffee beans and ground coffee are widely consumed in Turkey.</t>
  </si>
  <si>
    <t>The Communiqué covers green coffee beans  roasted coffee beans  ground coffee and coffee extract  soluble coffee extract  soluble coffee and instant coffee.</t>
  </si>
  <si>
    <t xml:space="preserve"> ICS codes: 67.140.20  HS codes: 090111  21011  0901 </t>
  </si>
  <si>
    <t>G/TBT/N/MYS/41</t>
  </si>
  <si>
    <t>Draft amendment of Regulation 161  Food Regulations 1985: Canned Fish (1 page  in English and Malay)</t>
  </si>
  <si>
    <t>The draft amendment is to include percentage of fish content in canned fish sambal tumis</t>
  </si>
  <si>
    <t>Canned fish (ICS: 67.120.30  HS: 1604)</t>
  </si>
  <si>
    <t>G/TBT/N/ECU/243</t>
  </si>
  <si>
    <t>22030000 22041000 22042100 22042990 22051000 22059000 22082021 22082022 22082029 2083000 22084000 22085000 22086000 22087010 22087020 22087090 22089020 22089042  22089049  22089090.</t>
  </si>
  <si>
    <t xml:space="preserve"> HS codes: 220850  220410  220890  220590  220840  220510  220860  220300  220870  220830  220421  220429  220820 </t>
  </si>
  <si>
    <t>G/TBT/N/ECU/222</t>
  </si>
  <si>
    <t>0811.10.90  0811.20.00  0811.90.99  2004.90.00</t>
  </si>
  <si>
    <t xml:space="preserve"> HS codes: 081110  200490  081120  081190 </t>
  </si>
  <si>
    <t>G/TBT/N/ECU/221</t>
  </si>
  <si>
    <t>0801.11.90  0801.19.00  0804.10.00  0813.10.00</t>
  </si>
  <si>
    <t xml:space="preserve"> HS codes: 080111  080410  080119  081310 </t>
  </si>
  <si>
    <t>G/TBT/N/ECU/212</t>
  </si>
  <si>
    <t>1006.20.00.00  1006.30.00.00  1006.10.90.00</t>
  </si>
  <si>
    <t xml:space="preserve"> HS codes: 100620  100630  100610 </t>
  </si>
  <si>
    <t>G/TBT/N/KEN/407</t>
  </si>
  <si>
    <t>KS 2533:2014 - Compounded Quail feeds - Specification (6 pages  in English).</t>
  </si>
  <si>
    <t>Specifies requirements for compounded Quail feeds used as sole&amp;nbsp  source of nutrients for farmed quails</t>
  </si>
  <si>
    <t>G/TBT/N/THA/434</t>
  </si>
  <si>
    <t>Draft MOPH Notification  B.E...  entitled “Premium” Labelling on full fat pasteurized fresh cow’s milk and cow’s milk " (2 pages  in Thai).</t>
  </si>
  <si>
    <t>The Ministry of Public Health (MOPH) is proposing to establish the MOPH notification concerningfull fat pasteurized fresh cow's milk and cow's milk as follows:1.&amp;nbsp &amp;nbsp &amp;nbsp  Full fat pasteurized fresh cow's milk and cow's milk that are labelled "premium" on the label shall be approved by The Office of Food and Drug Administration (Thai FDA) 2.&amp;nbsp &amp;nbsp &amp;nbsp  Full fat pasteurized fresh cow's milk and cow's milk that are labelled "Premium" on the label shall comply with the following terms and conditions:·&amp;nbsp &amp;nbsp &amp;nbsp &amp;nbsp &amp;nbsp &amp;nbsp &amp;nbsp &amp;nbsp  Quality and standards shall be complied comply with the notification of the Ministry of Public Health related to cow's milk ·&amp;nbsp &amp;nbsp &amp;nbsp &amp;nbsp &amp;nbsp &amp;nbsp &amp;nbsp &amp;nbsp  Having Have conformity and certified processing systemwhich comply with international standards or equivalent quality control from raw materials through to the finished product  including traceability.·&amp;nbsp &amp;nbsp &amp;nbsp &amp;nbsp &amp;nbsp &amp;nbsp &amp;nbsp &amp;nbsp  Primary and secondary production must be certified in quality system such as Good Agriculture Practice (GAP)  GMP  HACCP and other equivalent systems.·&amp;nbsp &amp;nbsp &amp;nbsp &amp;nbsp &amp;nbsp &amp;nbsp &amp;nbsp &amp;nbsp  Full fat pasteurized fresh cow's milk and cow's milk must be of a higher quality and standards for the following:a.&amp;nbsp &amp;nbsp &amp;nbsp  Used raw cow's milk that total microorganism (Standard Plate Count  SPC is not more than 200 000 cell/ml and Somatic Cell Count  SCC is not more than 300 000 cell/ml b.&amp;nbsp &amp;nbsp &amp;nbsp  Milk protein is not less than 3.1 % by weight c.&amp;nbsp &amp;nbsp &amp;nbsp  Milk fat is not less than 4.0 % by weight d.&amp;nbsp &amp;nbsp &amp;nbsp  Milk solid not fat is not less than 8.5 % by weight e.&amp;nbsp &amp;nbsp &amp;nbsp  Total microorganism is not more than 1 000 cell/ml at the manufacturer and not more than 10 000 cell/ml for shelf life.3.&amp;nbsp &amp;nbsp &amp;nbsp  Food operators that&amp;nbsp  use the "Premium" labelling before this notification shall comply with&amp;nbsp  the notification within two years of its entry into force.This notification shall come into force the following day after its publication in the Government Gazette.</t>
  </si>
  <si>
    <t>Full fat pasteurized fresh cow’s milk and cow’s milk (HS:0401  ICS:67.100)</t>
  </si>
  <si>
    <t xml:space="preserve"> ICS codes: 67.100  HS codes: 0401 </t>
  </si>
  <si>
    <t>G/TBT/N/TUR/56</t>
  </si>
  <si>
    <t>Turkish Food Codex Communiqué on Tea (3 pages  in Turkish).</t>
  </si>
  <si>
    <t>The purpose of this Communiqué is to identify the characteristics of black and green tea in order to ensure their production  storage  transportation and marketing in compliance with the relevant technical and hygienic conditions.</t>
  </si>
  <si>
    <t>Black tea  green tea  flavoured black and green tea  and decaffeinated black and green tea excluding cover black and green tea to which dried herbs and/or fruits are added.</t>
  </si>
  <si>
    <t>G/TBT/N/ECU/202</t>
  </si>
  <si>
    <t>2009.11.00  2009.12.00  2009.19.00  2009.21.00  2009.29.00  2009.31.00  2009.39.10  2009.39.90  2009.41.00  2009.49.00  2009.50.00  2009.61.00  2009.69.00  2009.71.00  2009.79.00  2009.81.00  2009.89.10  2009.89.20  2009.89.30  2009.89.40  2009.89.50  2009.89.60  2009.89.90  2009.90.00  2202.10.00  2202.90.00</t>
  </si>
  <si>
    <t xml:space="preserve"> HS codes: 200950  200990  200941  200961  200911  200979  200939  200929  220210  200969  200931  200912  200971  200919  200949  200921  220290 </t>
  </si>
  <si>
    <t>G/TBT/N/ECU/201</t>
  </si>
  <si>
    <t>2106.90.10  2106.90.21  2106.90.29  2106.90.60  3503.00.10</t>
  </si>
  <si>
    <t xml:space="preserve"> HS codes: 3503  210690 </t>
  </si>
  <si>
    <t>G/TBT/N/ECU/199</t>
  </si>
  <si>
    <t xml:space="preserve">2001.10.00  2001.90.10  2001.90.90  2002.10.00  2002.90.00  2003.10.00  2003.90.00  2004.10.00  2004.90.00  2005.10.00  2005.20.00  2005.40.00  2005.51.00  2005.59.00  2005.60.00  2005.70.00  2005.80.00  2005.91.00   2005.99.10  2005.99.20  2005.99.90  2006.00.00  2007.10.00  2007.91.10  2007.91.20  2007.99.11  2007.99.12  2007.99.91  2007.99.92  2008.11.10   2008.11.90  2008.19.10  2008.19.20  2008.19.90  2008.20.90  2008.30.00  2008.40.00  2008.50.00  2008.60.10  2008.60.90  2008.70.20  2008.70.90  2008.80.00  2008.91.00  2008.93.00  2008.97.00  2008.99.20  2008.99.30  2008.99.90 </t>
  </si>
  <si>
    <t xml:space="preserve"> HS codes: 200820  200870  200819  200799  200880  200210  200410  200850  200559  200290  200490  200791  200891  200110  200510  200390  200570  200520  200580  200899  200830  200190  200540  200551  200560  200860  200811  200840  200310  200710  2006 </t>
  </si>
  <si>
    <t>G/TBT/N/ECU/203</t>
  </si>
  <si>
    <t xml:space="preserve"> HS codes: 190230  190520  190211  190219  190240  190490  190510  190430  190220 </t>
  </si>
  <si>
    <t>G/TBT/N/ECU/194</t>
  </si>
  <si>
    <t>1905.31.00  1905.32.00  1905.90.10  1905.90.90</t>
  </si>
  <si>
    <t xml:space="preserve"> HS codes: 190590  190531  190532 </t>
  </si>
  <si>
    <t>G/TBT/N/GTM/85</t>
  </si>
  <si>
    <t>ICS 67.100.01</t>
  </si>
  <si>
    <t xml:space="preserve"> HS codes: 0401 </t>
  </si>
  <si>
    <t>G/TBT/N/GTM/84</t>
  </si>
  <si>
    <t>ICS: 67.100.01</t>
  </si>
  <si>
    <t>G/TBT/N/ISR/734</t>
  </si>
  <si>
    <t>Cow's milk and cow's milk beverages for drinking (17 pages  in Hebrew).</t>
  </si>
  <si>
    <t>Revision of the Mandatory Standard SI 284 dealing with Cow's milk. The major differences between the old version and this new revised draft standard are as follow:Expands the standard's scope to include also cow's milk beverages and changes the standard's name accordingly Adds new requirements for cow's milk beverages Expands the requirement to add vitamin D to all types of cow's milk and cow's milk beverages  regardless of the product's fat content Removes a few requirements  such as: homogenization and&amp;nbsp homogenization effectiveness  cleanliness  acidity  fat free dry matter content  sealing of the product package  resistance of the product to falling impact  coliform&amp;nbsp count and preservability Adds new requirements  such as: protein content  pH level &amp;nbsp amount of bacteria from the etrobacteriaceae group and lactose level.The entry into force of the following paragraphs will be as follows:Paragraph 2.6 dealing with the general manufacturing requirements will enter into force 2 years after publication in Israel's Official Gazette Paragraph 3.4.1 dealing with pasteurized milk and milk beverages&amp;nbsp and paragraph 3.5.3 dealing with vitamins will enter into force 1 year after their publication.</t>
  </si>
  <si>
    <t>Cow's milk</t>
  </si>
  <si>
    <t>G/TBT/N/BRA/578</t>
  </si>
  <si>
    <t>MAPA Ordinance Nº. 8  17 January 2014: Identity and Quality Standards (PIQ) for beers (Mercosur).      (11 pages  in Portuguese).</t>
  </si>
  <si>
    <t>Draft technical regulation to set Identity and Quality Standards (PIQ) for beers traded in the Brazilian market.</t>
  </si>
  <si>
    <t xml:space="preserve"> HS codes: 2203 </t>
  </si>
  <si>
    <t>G/TBT/N/BRA/573</t>
  </si>
  <si>
    <t>Ordinance Nº. 8  10 January 2014: establishes  within the Brazilian System of Conformity Assessment - SBAC  the voluntary certification for Bottled Natural Mineral Water  which should be carried out by an accredited body  accredited by INMETRO and established in Brazil.  (20 pages  in Portuguese).</t>
  </si>
  <si>
    <t>Voluntary certification: proposed conformity assessment procedures for&amp;nbsp Bottled Mineral Water  which should be carried out by an accredited body  established in Brazil with a focus on food security.</t>
  </si>
  <si>
    <t>G/TBT/N/KEN/400</t>
  </si>
  <si>
    <t>KS 2508:2013 Poultry feed premixes-   Specification (4 pages in English)</t>
  </si>
  <si>
    <t>Specifies requirements for compounded poultry feed premixes used as a sole source of Vitamins and trace elements for poultry.</t>
  </si>
  <si>
    <t xml:space="preserve">Animal feed (HS:230990  ICS: 65.120) </t>
  </si>
  <si>
    <t xml:space="preserve"> HS codes: 230990 </t>
  </si>
  <si>
    <t>G/TBT/N/BRA/571</t>
  </si>
  <si>
    <t>Draft Ordinance Nº152  6 December 2013 defining relevant technical requirements for sugar standard classification  (12 pages  in Portuguese).</t>
  </si>
  <si>
    <t xml:space="preserve">Draft technical regulation that establish the necessary requirements to define the Sugar standard classification  quality requirements  sampling  presentation  marking or labelling aspects relating to the product. </t>
  </si>
  <si>
    <t>Cane Sugar</t>
  </si>
  <si>
    <t xml:space="preserve"> HS codes: 1701 </t>
  </si>
  <si>
    <t>G/TBT/N/ISR/728</t>
  </si>
  <si>
    <t>Olive oil (8 pages  in Hebrew  19 pages  in English).</t>
  </si>
  <si>
    <t>Revision of the Mandatory Standard SI 191 dealing with olive oil. This standard adopts the International Olive Oil Council's document COI/T.15/NC No 3/ Rev.7: November 2012 called "Trade Standard Applying to Olive Oils and Olive-Pomace Oils". The major differences between the old version and this new revised draft standard are as follow:Adds new types of olive oils (paragraph 2) Updates the criteria for the oil's purity (paragraph 3) Adds new requirements for organoleptic characteristics and adds references to relevant test methods (paragraph 4.1) Amends paragraph 10 dealing with marking: removes the requirement to mark the acidity of virgin olive oil and adds new requirements such as marking the country of origin Changes the methods of analysis and sampling (paragraph 11).</t>
  </si>
  <si>
    <t xml:space="preserve">Olive oil   </t>
  </si>
  <si>
    <t xml:space="preserve"> ICS codes: 67.200.10  HS codes: 1509 </t>
  </si>
  <si>
    <t>G/TBT/N/ECU/128</t>
  </si>
  <si>
    <t>22.07  2207.10.00  2207.20.00  2207.20.00.90</t>
  </si>
  <si>
    <t xml:space="preserve"> HS codes: 220710  220720  2207 </t>
  </si>
  <si>
    <t>G/TBT/N/ECU/123</t>
  </si>
  <si>
    <t>1704.10  1704.10.10  1704.10.90  1704.90  1704.90.10  1704.90.90</t>
  </si>
  <si>
    <t xml:space="preserve"> HS codes: 170490  170410 </t>
  </si>
  <si>
    <t>G/TBT/N/ZAF/172</t>
  </si>
  <si>
    <t>Regulations regarding control over the sale of poultry meat: Amendment   (11 pages  in English).</t>
  </si>
  <si>
    <t xml:space="preserve">The purpose of the amendment to the existing regulations is to provide for the injection (treatment) of poultry with brine based mixtures  to set the levels of injection  and to provide for labelling and consumer information.&amp;nbsp &amp;nbsp </t>
  </si>
  <si>
    <t xml:space="preserve"> ICS codes: 67.120  HS codes: 0207 </t>
  </si>
  <si>
    <t>WTO Final date for comments</t>
  </si>
  <si>
    <t>Keywords (SPS Only)</t>
  </si>
  <si>
    <t>G/SPS/N/ARE/86#G/SPS/N/BHR/163#G/SPS/N/KWT/12#G/SPS/N/OMN/63#G/SPS/N/QAT/67#G/SPS/N/SAU/218#G/SPS/N/YEM/8</t>
  </si>
  <si>
    <t>The Kingdom of Saudi Arabia/The Cooperation Council for the Arab States of the Gulf Draft Technical Regulation for: "Flavourings Permitted for Use in Foodstuffs"</t>
  </si>
  <si>
    <t>This draft technical regulation applies to natural flavourings  and artificial flavourings permitted for use in food products intended for human consumption.</t>
  </si>
  <si>
    <t>Food safety</t>
  </si>
  <si>
    <t>Food additives  Food safety  Human health</t>
  </si>
  <si>
    <t>G/SPS/N/AUS/408</t>
  </si>
  <si>
    <t>Proposal to Amend Schedule 20 of the revised Australia New Zealand Food Standards Code (29 November 2016 - Proposed amendment (Agricultural and Veterinary Chemicals Code Instrument No. 4 (MRL Standard) Amendment Instrument 2016 (No. 16)))</t>
  </si>
  <si>
    <t>This Proposal seeks to amend the Australia New Zealand Food Standards Code to align the following maximum residue limits (MRLs) for various agricultural and veterinary chemicals so that they are consistent with other national regulations relating to the safe and effective use of agricultural and veterinary chemicals: - Acetamiprid  Chlorantraniliprole  Dithianon  Novaluron  Spirotetramat  Trifloxystrobin in specified plant commodities  and - Novaluron  in specified animal commodities.</t>
  </si>
  <si>
    <t>Foods in general</t>
  </si>
  <si>
    <t>Food safety  Human health  Maximum residue limits (MRLs)  Pesticides  Veterinary drugs</t>
  </si>
  <si>
    <t>G/SPS/N/TPKM/417</t>
  </si>
  <si>
    <t>The Draft Amendment of Standards for Specification  Scope  Application and Limitation of Food Additives</t>
  </si>
  <si>
    <t>Amendments of specification of modified food starches.</t>
  </si>
  <si>
    <t>Food additives to be used in foods</t>
  </si>
  <si>
    <t>G/SPS/N/AUS/406</t>
  </si>
  <si>
    <t>Proposal to Amend Schedule 20 of the revised Australia New Zealand Food Standards Code (15 November 2016 - Proposed amendment (Agricultural and Veterinary Chemicals Code Instrument No. 4 (MRL Standard) Amendment Instrument 2016 (No. 15)))</t>
  </si>
  <si>
    <t>This Proposal seeks to amend the Australia New Zealand Food Standards Code to align the following maximum residue limits (MRLs) for various agricultural and veterinary chemicals so that they are consistent with other national regulations relating to the safe and effective use of agricultural and veterinary chemicals: Abamectin  boscalid  cypermethrin  cyprodinil  dithiocarbamates and fludioxonil in specified plant commodities and cyprodinil in specified animal commodities.</t>
  </si>
  <si>
    <t>G/SPS/N/THA/238/Add.1</t>
  </si>
  <si>
    <t>Draft Ministry of Public Health Notification  No. ... B.E. ... (....) entitled "Botanicals  animals or parts of botanicals or animals prohibited when used in food"</t>
  </si>
  <si>
    <t>The Ministry of Public Health (MOPH) entitled "Botanicals  animals or parts of botanicals or animals prohibited when used in food" has been previously notified by the  Food and Drug Administration (Thai FDA)  Ministry of Public Health as G/SPS/N/THA/238 dated 13 July 2016. This notification has been adopted in the Official Gazette dated 31 October 2016 as notification of MOPH No. 378. Date of entry into force: 1 November 2016 http://members.wto.org/crnattachments/2016/SPS/THA/16_4835_00_x.pdf</t>
  </si>
  <si>
    <t>Botanicals  animals or parts of botanicals or animals to be used in food</t>
  </si>
  <si>
    <t xml:space="preserve"> HS codes: 07  08  06  02  01  05 </t>
  </si>
  <si>
    <t>Adoption/publication/entry into force of reg.</t>
  </si>
  <si>
    <t>G/SPS/N/TUR/81</t>
  </si>
  <si>
    <t>Regulation on Food Irradiation</t>
  </si>
  <si>
    <t>Food safety  Human health  Irradiation</t>
  </si>
  <si>
    <t>G/SPS/N/EU/173</t>
  </si>
  <si>
    <t>Annexes to "Draft Commission Regulation amending Annexes III and V to Regulation (EC) No 396/2005 of the European Parliament and of the Council as regards maximum residue levels for tricyclazole in or on certain products (Text with EEA relevance)"</t>
  </si>
  <si>
    <t xml:space="preserve">These notified annexes to the draft Regulation set proposed maximum residue levels for tricyclazole in or on certain products in Annexe V to Regulation (EC) No 396/2005. In view of the non-approval of the active substance tricyclazole in the European Union  the MRLs for this substance are lowered to the limit of determination. </t>
  </si>
  <si>
    <t>Cereals (HS Codes: 1001  1002  1003  1004  1005  1006  1007  1008)  foodstuffs of animal origin (HS Codes: 0201  0202  0203  0204  0205  0206  0207  0208  0209  0210) and certain products of plant origin  including fruit and vegetables</t>
  </si>
  <si>
    <t xml:space="preserve"> HS codes: 0201  0206  0209  0208  1008  1002  1005  0203  0204  1004  1003  1007  0205  1001  0202  0210  1006  0207 </t>
  </si>
  <si>
    <t>Food safety  Human health  Maximum residue limits (MRLs)  Pesticides</t>
  </si>
  <si>
    <t>Animal health  Protect humans from animal/plant pest or disease</t>
  </si>
  <si>
    <t>Animal diseases  Animal health  Foot and mouth disease</t>
  </si>
  <si>
    <t>Nepal</t>
  </si>
  <si>
    <t>G/SPS/N/NPL/24</t>
  </si>
  <si>
    <t>Proposed maximum limits of melamine in food products</t>
  </si>
  <si>
    <t>The Department of Food Technology and Quality Control proposes the maximum limits of melamine in food products. This measure serves: a. as a compulsory provision under food law and regulation  b. to monitor export / import of these food products  and c. to maintain safe and quality food products to the consumer.</t>
  </si>
  <si>
    <t>Maximum limit of melamine in food products</t>
  </si>
  <si>
    <t>Food safety  Human health</t>
  </si>
  <si>
    <t>G/SPS/N/JPN/471/Add.1</t>
  </si>
  <si>
    <t>Notification of revision of the Ministerial Ordinance for Enforcement of the Act on Domestic Animal Infectious Disease Control</t>
  </si>
  <si>
    <t>MAFF was proposing revision of the Article 45 of the "Ministerial Ordinance for Enforcement of the Act on Domestic Animal Infectious Disease Control" to add milk products to the list of items subject to animal quarantine in the notification G/SPS/N/JPN/471. The revision(*) of the "Ministerial Ordinance for Enforcement of the Act on Domestic Animal Infectious Disease Control" was published in Japanese Official Gazette on 31 October 2016. The revision will enter into force on 1 November 2017. Animal Health Requirements are still in preparation to set out detailed import conditions for milk products including required statements in the health certificate based on the import risk analysis and Chapters 8.8.24  8.8.25  8.8.35 and 8.8.36 of the OIE Terrestrial Animal Health Code (the OIE Code). MAFF will duly notify WTO Members once draft Animal Health Requirements have been developed. (*) MAFF revised the Article 45 in the "Ministerial Ordinance for Enforcement of the Act on Domestic Animal Infectious Disease Control (No. 35  1951)" as attached: http://members.wto.org/crnattachments/2016/SPS/JPN/16_4725_00_e.pdf</t>
  </si>
  <si>
    <t>Milk products categorized in the following HS codes: - Milk and cream (HS Codes: 04.01 and 04.02) - Buttermilk  curdled milk and cream  yogurt  kephir and other fermented or acidified milk and cream (HS Code: 04.03) - Whey (HS Code: 04.04) - Butter and other fats and oils derived from milk  and dairy spreads (HS Code: 04.05) - Cheese and curd (HS Code: 04.06) Milk products categorized in the following HS codes which contain ingredients derived from milk: - Lactose and lactose syrup (HS Codes: 1702.11 and 1702.19) - Dog or cat food and animal feed (HS Codes: 2309.10 and 2309.90)  - Casein  caseinates and other casein derivatives (HS Codes: 3501.10 and 3501.90) - Milk albumin and other milk albumin derivatives (HS Codes: 3502.20 and 3502.90)</t>
  </si>
  <si>
    <t xml:space="preserve"> HS codes: 0404  230990  0406  0405  170219  170211  0402  230910  350220  350290  0401  0403  350110  350190 </t>
  </si>
  <si>
    <t>Animal health</t>
  </si>
  <si>
    <t>G/SPS/N/ARE/82#G/SPS/N/BHR/162#G/SPS/N/KWT/11#G/SPS/N/OMN/62#G/SPS/N/QAT/66#G/SPS/N/SAU/216#G/SPS/N/YEM/7</t>
  </si>
  <si>
    <t>The Kingdom of Saudi Arabia/The Cooperation Council for the Arab States of the Gulf Draft Technical Regulation for: "General Requirements for Handling of Foods for Special Medical Purposes"</t>
  </si>
  <si>
    <t>This draft technical regulation applies to the general requirements for handling of foods for special purposes for patients over 12 months of age.</t>
  </si>
  <si>
    <t>Food products in general (ICS:67.040)</t>
  </si>
  <si>
    <t xml:space="preserve">The Kingdom of Saudi Arabia/The Cooperation Council for the Arab States of the Gulf Draft Technical Regulation for: "General Requirements for Handling of Foods for Special Medical Purposes" </t>
  </si>
  <si>
    <t>G/SPS/N/THA/228/Add.1</t>
  </si>
  <si>
    <t>Draft Thai Agricultural Standard entitled "Good Manufacturing Practices for Milk Collection Center"</t>
  </si>
  <si>
    <t>The Thai Agricultural Standard entitled "Good Manufacturing Practices for Milk Collection Center" has been previously notified by the National Bureau of Agricultural Commodity and Food Standards (ACFS)  Ministry of Agriculture and Cooperatives in G/SPS/N/THA/228 dated 16 March 2015. This Standard has been adopted in the Official Gazette dated 17 October 2016. Date of entry into force: three hundreds and sixty-five days after notified in the Official Gazette (17 October 2017). http://members.wto.org/crnattachments/2016/SPS/THA/16_4696_00_x.pdf http://members.wto.org/crnattachments/2016/SPS/THA/16_4696_00_e.pdf</t>
  </si>
  <si>
    <t>Processes in the food industry (ICS Code: 67.020)</t>
  </si>
  <si>
    <t>G/SPS/N/PER/679</t>
  </si>
  <si>
    <t>Proyecto Reglamento del Decreto Legislativo n° 1222 que optimiza los procedimientos administrativos y fortalece el control sanitario de alimentos industrializados y productos pesqueros y acuícolas (Draft Regulations implementing Legislative Decree No. 1222 on the optimization of administrative procedures and strengthening of sanitary control over processed foods and fishery and aquaculture products).</t>
  </si>
  <si>
    <t>The notified Regulations establish the following:6.1.Administrative procedures and requirements for sanitary certification (general principles of hygiene and official technical validation of the HACCP Plan) in relation to the manufacture  bulk-breaking/packaging  storage and marketing of processed foods and food additives for the domestic market and for export 6.2.Administrative penalty procedure applied in the context of the determination of administrative offences falling within the competence of the Department of Environmental Health and Food Safety Control of the DIGESA  and procedure for the imposition of penalties and additional measures  and  6.3.Rules governing the labelling of processed foods.</t>
  </si>
  <si>
    <t>The goods covered include only processed foods falling within the competence of the Ministry of Health (foods subject to heat treatment  smoking  industrial drying  roasting or dehydrating  dry mixtures for infusions and condiments  and foods that are blanched  pickled or in brine  inter alia). In the case of flours and meals  only fortified flour is included. The Annex listing the tariff sub-headings in question can be consulted by following the hyperlinks in point 5 below.</t>
  </si>
  <si>
    <t xml:space="preserve"> HS codes: 18  16  08  15  17  22  25  07  02  21  04  19  20  09  13  05  12 </t>
  </si>
  <si>
    <t>G/SPS/N/EU/172</t>
  </si>
  <si>
    <t>Draft Commission Directive amending Directive 2001/18/EC of the European Parliament and of the Council as regards the environmental risk assessment of genetically modified organisms</t>
  </si>
  <si>
    <t>This draft Directive updates certain annexes to Directive 2001/18/EC as regards the environmental risk assessment of GMOs  in order to adapt them to technical progress and in the light of the Guidance documents of the European Food safety Authority concerning the environmental risk assessment of genetically modified plants. The list of information that notifyers must provide under Directive 2001/18/EC is also updated accordingly.</t>
  </si>
  <si>
    <t>Animal diseases  Animal feed  Animal health  Biotechnology  Food safety  Genetically modified organisms  Human health</t>
  </si>
  <si>
    <t>G/SPS/N/TUR/9/Add.2</t>
  </si>
  <si>
    <t>Amendment "Veterinary Health Certificate For Dairy Products Derived From Milk Of Cows  Ewes  Goats And Buffaloes For Human Consumption Intended For Exportation to the Republic of Turkey" and "Veterinary Health Certificate For Dairy Products For Human Consumption Intended for Exportation to the Republic of Turkey"</t>
  </si>
  <si>
    <t xml:space="preserve">In accordance with section 7 - chapter 1 - Article 31 of Law No. 5996  rules  works  proceedings and certificate models with regard to veterinary and phytosanitary certificates and other certificates are determined by the Ministry of Food  Agriculture and Livestock. Based on Law No. 5996 the amendment is related with the revision in the Harmonised System (HS) Codes identified for the following veterinary health certificates being used to export milk and milk products to Turkey. HS Codes 15.17  22.02  28.35 are added to "Explanatory Notes" (part I-Box.I.19) section of "Veterinary Health Certificate For Dairy Products Derived From Milk Of Cows  Ewes  Goats And Buffaloes For Human Consumption Intended For Exportation to the Republic of Turkey". HS Codes 15.17  19.01  22.02  28.35 are added to "Explanatory Notes" (part I-Box.I.19) section of "Veterinary Health Certificate For Dairy Products For Human Consumption Intended for Exportation to the Republic of Turkey". Amended veterinary health certificates entered into force on 2 November 2016. Currently both versions can be used.  However  old versions will not be valid after 31 December 2016. </t>
  </si>
  <si>
    <t>Food and feed  materials in contact with foodstuffs</t>
  </si>
  <si>
    <t>Food safety  Animal health  Plant protection</t>
  </si>
  <si>
    <t>Modification of content/scope of regulation</t>
  </si>
  <si>
    <t>G/SPS/N/AUS/404</t>
  </si>
  <si>
    <t xml:space="preserve">Proposal to Amend Schedule 20 of the revised Australia New Zealand Food Standards Code (1 November 2016 - Proposed amendment (Agricultural and Veterinary Chemicals Code Instrument No. 4 (MRL Standard) Amendment Instrument 2016 (No. 14))) </t>
  </si>
  <si>
    <t>This Proposal seeks to amend the Australia New Zealand Food Standards Code to align certain maximum residue limits (MRLs) for various agricultural and veterinary chemicals so that they are consistent with other national regulations relating to the safe and effective use of agricultural and veterinary chemicals.</t>
  </si>
  <si>
    <t>G/SPS/N/CAN/1071</t>
  </si>
  <si>
    <t xml:space="preserve">Proposal to amend the List of Maximum Residue Limits (MRLs) for Veterinary Drugs in Foods (Proposed MRL 2016-2) </t>
  </si>
  <si>
    <t xml:space="preserve">This notification is further to the SPS Notification (G/SPS/N/CAN/597/Add.2)  where the Minister of Health has issued a Ministerial Regulation entitled "Marketing Authorization (MA) for Maximum Residue Limits (MRLs) for Veterinary Drugs in Foods" pursuant to section 30.3(1) and 30.5(1) of the Food and Drugs Act.    The online "List of Maximum Residue Limits (MRLs) for Veterinary Drugs in Foods" http://www.hc-sc.gc.ca/dhp-mps/vet/mrl-lmr/mrl-lmr_versus_new-nouveau-eng.php  (referred hereafter as the List) is incorporated by reference and is maintained on Health Canada's website. Any proposed changes will continue to be the subject of consultation  public and international notification  and the List will then be updated administratively.   The purpose of this proposal is to notify of a consultation on proposed amendments to  the List specifically to address MRLs established in cattle and their applicability to veal calves.   </t>
  </si>
  <si>
    <t>Veterinary drug residues in foods of animal origin (ICS Codes: 11.220  67.040  67.120)</t>
  </si>
  <si>
    <t>Food safety  Human health  Maximum residue limits (MRLs)  Veterinary drugs</t>
  </si>
  <si>
    <t>G/SPS/N/AUS/405</t>
  </si>
  <si>
    <t xml:space="preserve">Assessment summary for maximum residue limits for avilamycin in specific pig commodities (Application A1133) </t>
  </si>
  <si>
    <t>This Application seeks to amend the Australia New Zealand Food Standards Code (Code) to align maximum residue limits for the veterinary chemical avilamycin in specific pig commodities  with certain limits established by Codex relating to the safe and effective use of agricultural and veterinary chemicals.  The document includes a summary of the scientific risk assessment and risk assessment methodology and proposed draft variation to the Code.</t>
  </si>
  <si>
    <t xml:space="preserve">Foods sold in Australia (both imported and domestically produced). Raw unprocessed swine products. </t>
  </si>
  <si>
    <t>G/SPS/N/EU/163/Add.1</t>
  </si>
  <si>
    <t>Maximum residue levels for aclonifen  deltamethrin  fluazinam  methomyl  sulcotrione and thiodicarb in or on certain products</t>
  </si>
  <si>
    <t>The proposal notified in G/SPS/N/EU/163 (6 April 2016) is now adopted as Commission Regulation (EU) 2016/1822 of 13 October 2016 amending Annexes II  III and V to Regulation (EC) No 396/2005 of the European Parliament and of the Council as regards maximum residue levels for aclonifen  deltamethrin  fluazinam  methomyl  sulcotrione and thiodicarb in or on certain products (Text with EEA relevance) [OJ L 281  18 October 2016  pp. 1-44]. This Regulation applies from 7 November 2016.  http://members.wto.org/crnattachments/2016/SPS/EEC/16_4546_00_e.pdf http://members.wto.org/crnattachments/2016/SPS/EEC/16_4546_00_f.pdf http://members.wto.org/crnattachments/2016/SPS/EEC/16_4546_00_s.pdf</t>
  </si>
  <si>
    <t>HS Code(s): Cereals (1001  1002  1003  1004  1005  1006  1007  1008)  foodstuffs of animal origin (0201  0202  0203  0204  0205  0206  0207  0208  0209  0210) and certain products of plant origin  including fruit and vegetables</t>
  </si>
  <si>
    <t>G/SPS/N/EU/171</t>
  </si>
  <si>
    <t>Annexes to "Draft Commission Regulation amending Annexes II and III and V to Regulation (EC) No 396/2005 of the European Parliament and of the Council as regards maximum residue levels for fluopyram  hexachlorociclohexane (HCH)  alpha-isomer  hexachlorociclohexane (HCH)  beta-isomer  hexachlorociclohexane (HCH)  sum of isomers  except the gamma isomer  lindane (hexachlorociclohexane (HCH)  gamma-isomer)  nicotine and profenofos in or on certain products (Text with EEA relevance)"</t>
  </si>
  <si>
    <t>These notified annexes to the draft Regulation set proposed maximum residue levels for fluopyram  hexachlorociclohexane (HCH)  alpha-isomer  hexachlorociclohexane (HCH)  beta-isomer  hexachlorociclohexane (HCH)  sum of isomers  except the gamma isomer  lindane (hexachlorociclohexane (HCH)  gamma-isomer)  nicotine and profenofos in or on certain products in Annex II and V to Regulation (EC) No 396/2005. MRLs for these substances in certain commodities are changed: either increased  lowered  or deleted.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 Deleted MRLs for hexachlorociclohexane (HCH)  sum of isomers  except the gamma isomer are replaced by specific MRLs for hexachlorociclohexane (HCH)  alpha-isomer and hexachlorociclohexane (HCH) beta-isomer.</t>
  </si>
  <si>
    <t xml:space="preserve"> HS codes: 1007  0205  0206  1002  1004  0204  1001  0201  0209  1003  0203  0208  0202  0207  1008  1005  0210  1006 </t>
  </si>
  <si>
    <t>G/SPS/N/EU/158/Add.1</t>
  </si>
  <si>
    <t>Maximum residue levels for 3-decen-2-one  acibenzolar-S-methyl and hexachlorobenzene in or on certain products</t>
  </si>
  <si>
    <t>The proposal notified in G/SPS/N/EU/158 (14 March 2016) is now adopted as Commission Regulation (EU) 2016/1866 of 17 October 2016 amending Annexes II  III and V to Regulation (EC) No 396/2005 of the European Parliament and of the Council as regards maximum residue levels for 3-decen-2-one  acibenzolar-S-methyl and hexachlorobenzene in or on certain products (Text with EEA relevance) [OJ L 286  21 October 2016  pp. 4-31]. This Regulation applies from 10 May 2017.  http://members.wto.org/crnattachments/2016/SPS/EEC/16_4538_00_e.pdf http://members.wto.org/crnattachments/2016/SPS/EEC/16_4538_00_f.pdf http://members.wto.org/crnattachments/2016/SPS/EEC/16_4538_00_s.pdf</t>
  </si>
  <si>
    <t xml:space="preserve"> HS codes: 0205  0209  0210  0207  1005  1003  1001  0204  1002  0206  0203  1008  0208  1007  0201  1004  0202  1006 </t>
  </si>
  <si>
    <t>G/SPS/N/TPKM/414</t>
  </si>
  <si>
    <t>Import inspection requirement for commodities classified under 9 specific CCC codes if they are used for food or food additives</t>
  </si>
  <si>
    <t>Commodities classified under nine specific CCC codes shall follow the "Regulations of Inspection of Imported Foods and Related Products" if they are used for food or food additives. The importers shall apply for inspection to the Food and Drug Administration  Ministry of Health and Welfare.</t>
  </si>
  <si>
    <t>Those food or food additives purposes classified under nine specific CCC codes</t>
  </si>
  <si>
    <t>G/SPS/N/NZL/546</t>
  </si>
  <si>
    <t>Proposals for changes to food safety regulations MPI Public Discussion Paper No: 2016/24</t>
  </si>
  <si>
    <t>The Food Act 2014 and Food Regulations 2015 came into force on 1 March 2016. These aligned New Zealands domestic food system with the risk-based approach of other food statutes  namely the Animal Products Act 1999 and the Wine Act 2003.  While new businesses have to operate under the Food Act straight away  existing businesses are transitioning to the new law over a three year introductory period (set to finish during 2019).   The Food Regulations 2015 focussed on higher-risk businesses that were the first to transition to the Food Act  and the detailed requirements needed to get the Food Act working on a practical level. The proposals for this second set of regulations focus on low to medium-risk businesses joining later in the introductory period.  Many of the proposals seek to reduce regulatory burden and revoke unnecessary rules. The proposals include: - reduced regulatory requirements for low to medium-risk businesses  - greater flexibility surrounding initial verification requirements and a change to verification reports  - a review of the outdated Food (Safety) Regulations 2002  many of which can be revoked  - amendment of the Animal Products (Exemptions and Inclusions) Order 2000 to ensure that the Animal Products Act 1999 and the Food Act 2014 are working together effectively  and - a change to the Food Regulations 2015 relating to maximum residue levels in wine.</t>
  </si>
  <si>
    <t>All food</t>
  </si>
  <si>
    <t>G/SPS/N/CHN/1053</t>
  </si>
  <si>
    <t>National Food Safety Standard of the P.R.C.: Maximum Residue Limits for Pesticides in Foods</t>
  </si>
  <si>
    <t>This standard establishes 233 maximum residue limits (MRLs) for 99 pesticides  including 2  4-D-dimethylammonium  etc. in foods.</t>
  </si>
  <si>
    <t>G/SPS/N/KOR/550</t>
  </si>
  <si>
    <t>Proposed Amendments to the Standards and Specifications for Foods</t>
  </si>
  <si>
    <t>The proposed amendment seeks to: 1. Expand the list of Raw materials permitted to be used in foods.  Add commodities such as Allomyrina dichotoma  Protaetia brevitarsis  Kajime (Ecklonia cava)  the bulbil of East Asian mountain yam (Dioscorea batatas Decaisne) and Weissella cibaria into the list.  2. Establish and revise the maximum residue limits for two newly registered pesticides (Cyclaniliprole and Pyflubumide) in foods  and expand the range of target agricultural products for 90 pesticides. 3. Etablish and revise the maximum residue limits for certain veterinary drugs (Cyproheptadine  Iodohydroxy quinoline sulfonic acid and Flumethasone) in foods. 4. Modify the terminologies and wordings in the Standards and Specifications for Foods.  Establish definitions for certain terminologies such as infants and children.</t>
  </si>
  <si>
    <t>Bacteria  Food safety  Human health  Maximum residue limits (MRLs)  Pesticides  Veterinary drugs</t>
  </si>
  <si>
    <t>G/SPS/N/TUR/79</t>
  </si>
  <si>
    <t>The methods of sampling and analysis for the control of the levels of trace elements and processing contaminants in foodstuffs</t>
  </si>
  <si>
    <t>It also establishes the performance criteria with which the method of analysis used for official control has to be complied.</t>
  </si>
  <si>
    <t>Foodstuff</t>
  </si>
  <si>
    <t>Contaminants  Food safety  Human health</t>
  </si>
  <si>
    <t>G/SPS/N/IND/163</t>
  </si>
  <si>
    <t>Draft Food Safety and Standards (Approval for Non-specified Food and Food Ingredients) Regulations  2016</t>
  </si>
  <si>
    <t>Draft Food Safety and Standards (Approval for Non-specified Food and Food Ingredients) Regulations  2016 relating to scope and procedure for grant of approval for non-specified and food ingredients.</t>
  </si>
  <si>
    <t>Food and food ingredients</t>
  </si>
  <si>
    <t>G/SPS/N/IND/162</t>
  </si>
  <si>
    <t>Draft Food Safety and Standards (Fortification of Foods) Regulations  2016</t>
  </si>
  <si>
    <t>Draft Food Safety and Standards (Fortification of Foods) Regulations  2016 relating to standards for fortification of food.</t>
  </si>
  <si>
    <t>Standards for fortification of food</t>
  </si>
  <si>
    <t>Chile</t>
  </si>
  <si>
    <t>G/SPS/N/CHL/530</t>
  </si>
  <si>
    <t>Modificación del Artículo 173 del Reglamento Sanitario de Los Alimentos  Decreto Supremo N° 977/96 del Ministerio de Salud (Amendment to Article 173 of the Food Health Regulations  Supreme Decree No. 977/96 of the Ministry of Health)</t>
  </si>
  <si>
    <t>The notified proposal sets out an amendment to Article 173 ("Microbiological Specifications by Food Group") of the Food Health Regulations.The first table of microbiological specifications subject to the proposed amendment is Table 9.1.- DRIED FORMULA FOR CHILDREN UNDER 12 MONTHS OLD. This table has been amended to include microbiological parameters for Cronobacter sakazakii. No other parameters have been changed.Subdivisions have been introduced in some tables  following minor changes to food classification specifications. Table 14.2.- PRE-PROCESSED EDIBLE FRUITS AND VEGETABLES READY FOR CONSUMPTION will be changed to 14.2.- PRE-PROCESSED FRUITS AND VEGETABLES and subdivided into two categories:14.2.1.- Pre-processed edible fruits and vegetables ready for consumption (proposal submitted for public consultation)14.2.2.- Pre-processed edible fruits and vegetables that require cooking (no proposal as yet)It should be noted that pre-processed fruits and vegetables are taken to mean fruits and vegetables  whether or not combined  that are processed for consumption in such a way as to be kept organoleptically fresh through actions such as the removal of non-edible parts  chopping  slicing  grinding  dicing  centrifuging  sanitization and packaging  the shelf life of which is prolonged through the reduction and control of microbiological content and the use of packaging and other technological processes.In light of the above  amendments have also been made to Table 15.2. - MEALS AND MIXED DISHES WITH RAW AND/OR COOKED INGREDIENTS  INCLUDING SANDWICHES  so as to ensure the consistency of the applicable microbiological criteria.</t>
  </si>
  <si>
    <t>Bacteria  Food safety  Human health</t>
  </si>
  <si>
    <t>G/SPS/N/AUS/401</t>
  </si>
  <si>
    <t>Proposal to Amend Schedule 20 of the revised Australia New Zealand Food Standards Code (4 October 2016 - Proposed amendment (Agricultural and Veterinary Chemicals Code Instrument No. 4 (MRL Standard) Amendment Instrument 2016 (No. 13)))</t>
  </si>
  <si>
    <t>Food in general</t>
  </si>
  <si>
    <t>G/SPS/N/IND/161</t>
  </si>
  <si>
    <t>The draft Food Safety and Standards (Food Products Standards and Food Additives) Amendment Regulations  2016</t>
  </si>
  <si>
    <t>The draft Food Safety and Standards (Food Products Standards and Food Additives) Amendment Regulations  2016 related to Vertical Standards of Fish and Fish Products.</t>
  </si>
  <si>
    <t>Food and food products</t>
  </si>
  <si>
    <t>G/SPS/N/THA/235/Add.1</t>
  </si>
  <si>
    <t>Novel food (ICS Codes: 67.020  67.040)</t>
  </si>
  <si>
    <t>Food safety  Human health  Labelling</t>
  </si>
  <si>
    <t>G/SPS/N/TUR/76</t>
  </si>
  <si>
    <t>Turkish Food Codex Regulation on Specifications for Food Additives</t>
  </si>
  <si>
    <t>The purpose of this regulation is to specify the specifications for food additives.</t>
  </si>
  <si>
    <t>G/SPS/N/ZAF/48</t>
  </si>
  <si>
    <t>Regulations relating to the reduction of Sodium in certain Foodstuffs and related matters: Amendment (Government Notice R. 989 of 6 September 2016)</t>
  </si>
  <si>
    <t>The Regulations make provision for the reduction of Sodium in certain Foodstuffs and related matters under the control of the Department of Health  in terms of the Foodstuffs  Cosmetics and Disinfectants Act  1972 (Act 54 of 1972) to comply with the implementation of the (a) Global Strategy on Diet  Physical Activity and Health  and (b) Global strategy for the prevention and control of non-communicable diseases  as well as related matters (labelling)  as outlined in these regulations.</t>
  </si>
  <si>
    <t>Foodstuffs containing Sodium (HS Code: 2202)</t>
  </si>
  <si>
    <t>Food additives  Food safety  Human health  Labelling</t>
  </si>
  <si>
    <t>G/SPS/N/USA/2502/Add.8</t>
  </si>
  <si>
    <t>Human food under the jurisdiction of the US Food and Drug Administration.  HS Code(s):  03  04  05  07  08  09  10  11  12  15  16  17  18  19  20  21  22   ICS Code(s):  65  67</t>
  </si>
  <si>
    <t>G/SPS/N/IND/159</t>
  </si>
  <si>
    <t>Draft Food Safety and Standards (Food Products Standards and Food Additives) Amendment Regulations  2016</t>
  </si>
  <si>
    <t>Draft Food Safety and Standards (Food Products Standards and Food Additives) Amendment Regulations  2016 relating to adoption of 46 BIS standards for food additives.</t>
  </si>
  <si>
    <t>Adoption of 46 BIS standards for food additives</t>
  </si>
  <si>
    <t>Food safety  Protect humans from animal/plant pest or disease</t>
  </si>
  <si>
    <t>G/SPS/N/CAN/1055</t>
  </si>
  <si>
    <t>Notice of Intent to Issue a Food Marketing Authorization Amending the Marketing Authorization for Food Additives with Other Generally Accepted Uses</t>
  </si>
  <si>
    <t>The purpose of this notice is to inform interested stakeholders of the Minister of Health's intent to amend the Marketing Authorization for Food Additives with Other Generally Accepted Uses to allow for the addition of food additives for new purposes of use to the incorporated List of Permitted Food Additives with Other Generally Accepted Uses. Paragraph 2(1)(a) of this marketing authorization (MA) presently limits the purposes of use that may appear on the incorporated list to those that were mentioned in column III of Table VIII  Part B  Division 16 of the Food and Drug Regulations on the day on which the MA and its incorporated list were made (25 October 2012). Until paragraph 2(1)(a) is amended  Health Canada's Food Directorate is unable to administratively amend the List of Permitted Food Additives with Other Generally Accepted Uses to permit food additives for new purposes of use that it has assessed as safe. Interested persons may make representations  with respect to the Minister of Health's intent to issue this MA  within 75 calendar days after the date of publication of this notice (by 22 November 2016).</t>
  </si>
  <si>
    <t>Food additives (ICS Code: 67.220)</t>
  </si>
  <si>
    <t>G/SPS/N/TPKM/387/Add.1</t>
  </si>
  <si>
    <t>G/SPS/N/AUS/398</t>
  </si>
  <si>
    <t>Proposal to Amend Schedule 20 of the revised Australia New Zealand Food Standards Code (6 September 2016 - Proposed amendment (Agricultural and Veterinary Chemicals Code Instrument No. 4 (MRL Standard) Amendment Instrument 2016 (No. 12)))</t>
  </si>
  <si>
    <t>G/SPS/N/PHL/341</t>
  </si>
  <si>
    <t>Draft Philippine National Standard (PNS) for the General Standard for Contaminants and Toxins in Food and Feed (GSTCFF)</t>
  </si>
  <si>
    <t>The Philippine National Standard (PNS) for the General Standard for Contaminants and Toxins in Food and Feed (GSTCFF) intends to provide guidance on the maximum levels of contaminants and natural toxicants in food and feed applicable in trade. It includes sections on the maximum and guideline levels for contaminants and toxins per commodity and the methods of sampling and analysis.</t>
  </si>
  <si>
    <t>Food and feed</t>
  </si>
  <si>
    <t>Animal feed  Contaminants  Food safety  Human health  Toxins</t>
  </si>
  <si>
    <t>G/SPS/N/VNM/82</t>
  </si>
  <si>
    <t>Draft Circular on amending and supplementing some provisions of Circular No. 24/2013/TT-BYT dated 14 August 2013 of Ministry of Health issuing "Regulation on maximum residues limits for veterinary drugs in foods"</t>
  </si>
  <si>
    <t>- Amending Maximum Residues Limits (MRLs) of veterinary drugs in foods in compliance with Codex CAC/MRL 2-2015 (version updated on July 2015)  - Adding banned veterinary drugs  which are not allowed to use in veterinary  fisheries and livestock of Viet Na</t>
  </si>
  <si>
    <t>G/SPS/N/EU/170</t>
  </si>
  <si>
    <t>Annexes to "Draft Commission Regulation amending Annexes II  III and V to Regulation (EC) No 396/2005 of the European Parliament and of the Council as regards maximum residue levels for fenpyroximate  triadimenol and triadimefon in or on certain products (Text with EEA relevance)"</t>
  </si>
  <si>
    <t>These notified annexes to the draft Regulation set proposed maximum residue levels for fenpyroximate  triadimenol and triadimefon in or on certain products in Annexes 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</si>
  <si>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0206  0210  0208  0205  1005  1007  1001  0203  0204  0207  0209  0201  1003  0202  1002  1004  1008  1006 </t>
  </si>
  <si>
    <t>G/SPS/N/ARE/80#G/SPS/N/BHR/160#G/SPS/N/KWT/9#G/SPS/N/OMN/60#G/SPS/N/QAT/64#G/SPS/N/SAU/211#G/SPS/N/YEM/5</t>
  </si>
  <si>
    <t>The Kingdom of Saudi Arabia/The Cooperation Council for the Arab States of the Gulf Draft Technical Regulation for: "Recycled Plastic Materials and Articles Intended to Come Into Contact With Food"</t>
  </si>
  <si>
    <t>Materials and articles in contact with foodstuffs (ICS Code: 67.250)</t>
  </si>
  <si>
    <t xml:space="preserve"> HS codes: 3920  3923  3919  3924 </t>
  </si>
  <si>
    <t>Contaminants  Food safety  Human health  Packaging</t>
  </si>
  <si>
    <t xml:space="preserve"> HS codes: 3919  3924  3923  3920 </t>
  </si>
  <si>
    <t>G/SPS/N/ARE/81#G/SPS/N/BHR/161#G/SPS/N/KWT/10#G/SPS/N/OMN/61#G/SPS/N/QAT/65#G/SPS/N/SAU/212#G/SPS/N/YEM/6</t>
  </si>
  <si>
    <t>The Kingdom of Saudi Arabia/The Cooperation Council for the Arab States of the Gulf Draft Technical Regulation for: "Soy Sauce"</t>
  </si>
  <si>
    <t>Food products in general (ICS Code: 67.040)</t>
  </si>
  <si>
    <t xml:space="preserve"> HS codes: 210310 </t>
  </si>
  <si>
    <t>G/SPS/N/KOR/548</t>
  </si>
  <si>
    <t>Proposed amendments to the Standards and Specifications for Food Additives</t>
  </si>
  <si>
    <t>The Republic of Korea is proposing to amend the Standards and Specifications for the Food Additives. 1) The standards and specifications of the following food additive are newly established: Cross-linked sodium carboxymethyl cellulose. 2) The definition or description of following four food additives are revised: Carbon dioxide  silicon dioxide  â-glucanase  Kuk. 3) The specifications including test methods for identity and purity of 17 food additives are revised: Monosodium L-glutamate  dammar gum  calcium oxide  steviol glycoside  rice bran wax  oxystearin  quillaia extract  silicon resin  magnesium carbonate  calcium carbonate  tert-butylhydroquinone  polysorbate 80  polyisobutylene  aluminium potassium sulfate  enzymatically modified stevia  mixed preparations containing carbonates  mixed preparation containing sodium saccharin. 4) The standards for the use of the following 12 food additives are revised: Sorbic acid  potassium sorbate  calcium sorbate  sodium saccharin  calcium oxide  calcium stearoyl lactylate  magnesium L-lactate  potassium lactate  potassium carbonate anhydrous  polyvinyl alcohol  polyvinyl pyrrolidone  polyethylene glycol.</t>
  </si>
  <si>
    <t>Food additives</t>
  </si>
  <si>
    <t xml:space="preserve"> HS codes: 3923  3919  3924  3920 </t>
  </si>
  <si>
    <t xml:space="preserve"> HS codes: 3924  3919  3923  3920 </t>
  </si>
  <si>
    <t>G/SPS/N/TPKM/410</t>
  </si>
  <si>
    <t>Draft of Sanitation Standard for Food Cleansers Amend to Article 5</t>
  </si>
  <si>
    <t>The draft amends the description for "Residue Limits" in Appendix 2  and provides additional explanation regarding the clean applicable range of foods.</t>
  </si>
  <si>
    <t>Food cleansers</t>
  </si>
  <si>
    <t>G/SPS/N/CHL/528</t>
  </si>
  <si>
    <t>Propuesta de modificación parcial del Artículo 160 del Reglamento Sanitario de los Alimentos  Decreto Supremo N° 977/96 del Ministerio de Salud (Draft partial amendment to Article 160 of the Food Health Regulations  Supreme Decree No. 977/96 of the Ministry of Health)</t>
  </si>
  <si>
    <t>The draft amendment relates to the maximum levels of mercury permitted in the following foods.ARTICLE 160. The mercury content of the following foods must not exceed the maximum levels indicated below:Non-predatory fish  including fresh and processed fish (e.g. frozen  smoked  canned  breaded): 0.5 mg/kg final productNotes:Excludes marine-derived oils Limit for methylmercury It is only necessary to determine the level of methylmercury if the total mercury concentration exceeds this limit.Non-predatory fish  including fresh and processed fish (e.g. frozen  smoked  canned  breaded): 1 mg/kg final productCovers inter alia: shark (Hexanchus griseus  Deania calcea  Isurus oxyrinchus  Lamna nasus  etc.)  swordfish (Xiphias gladius)  tuna (Thunnus albacares  Thunnus alalunga  Gatrochisma melampus  Katsuwonus pelamis  Thunnus obesus  etc.)  Patagonian toothfish (Dissostichus eleginoides).Notes:Excludes marine-derived oils Limit for methylmercury It is only necessary to determine the level of methylmercury if the total mercury concentration exceeds this limit.Shellfish  including fresh and processed shellfish (e.g. frozen  smoked  canned  breaded): 0.5 mg/kg final productNote: Excludes marine-derived oils.Edible salt: 0.1 mg/kg final productNote: See Paragraph II of Title XXIII.Mineral waters and packaged drinking waters: 0.001 mg/kg final productNote: Expressed in mg/l.Dietary supplements  fortified foods  foods for athletes  foods for special diets and foods claiming to provide nutritional or health benefits which contain marine-derived DHA and EPA: 0.10 mg/kg final product</t>
  </si>
  <si>
    <t>G/SPS/N/ZWE/6</t>
  </si>
  <si>
    <t>Proposed Food and Food Standards (Pre-packaged Food Labelling) Regulations SI 265 of 2002 Amendments</t>
  </si>
  <si>
    <t>This document outlines the amendments being proposed to an existing statutory instrument on labelling for pre-packaged foods. It adds certain requirements for the declaration of the GMO content of foods  change of best before dates  new Nutrient Reference Values (NRVs) for nutritional claims  and declaration of caffeine levels in energy and other soft drinks.</t>
  </si>
  <si>
    <t>All pre-packaged foods for human consumption</t>
  </si>
  <si>
    <t>Biotechnology  Food safety  Genetically modified organisms  Human health  Labelling</t>
  </si>
  <si>
    <t>G/SPS/N/JPN/475</t>
  </si>
  <si>
    <t>Amendment to the Enforcement Ordinance of the Food Sanitation Law and the Standards and Specifications for Foods and Food Additives</t>
  </si>
  <si>
    <t>Revision of the existing standards for use of Hydrogen Peroxide.</t>
  </si>
  <si>
    <t>Food additive (Hydrogen Peroxide)</t>
  </si>
  <si>
    <t xml:space="preserve"> HS codes: 2847 </t>
  </si>
  <si>
    <t>G/SPS/N/USA/2156/Add.7</t>
  </si>
  <si>
    <t>Food for human and animal consumption  except for meat  poultry  and egg products that are exclusively regulated by the US Department of Agriculture (USDA).  The Act does not alter the jurisdiction between FDA and USDA.</t>
  </si>
  <si>
    <t>Change in date of adoption/publication/entry into force</t>
  </si>
  <si>
    <t>G/SPS/N/AUS/396</t>
  </si>
  <si>
    <t xml:space="preserve">Proposal to Amend Schedule 20 of the revised Australia New Zealand Food Standards Code (23 August 2016 - Proposed amendment (Agricultural and Veterinary Chemicals Code Instrument No. 4 (MRL Standard) Amendment Instrument 2016 (No. 11))) </t>
  </si>
  <si>
    <t>G/SPS/N/JPN/472</t>
  </si>
  <si>
    <t>Authorization of peracetic acid (PAA)  1-hydroxyethylidene-1 1-diphosphonic acid (HEDP) and octanoic acid as food additives and establishment of standards and specifications for PAA  HEDP  octanoic acid and peracetic acid composition.</t>
  </si>
  <si>
    <t>Food additive composition (Peracetic acid composition)</t>
  </si>
  <si>
    <t>G/SPS/N/JPN/473</t>
  </si>
  <si>
    <t>Revision of the existing use standards for sodium chlorite.</t>
  </si>
  <si>
    <t>Food additive (Sodium chlorite)</t>
  </si>
  <si>
    <t>G/SPS/N/JPN/474</t>
  </si>
  <si>
    <t>Authorization of Hypobromous acid water as food additive and establishment of standards and specifications.</t>
  </si>
  <si>
    <t>Food additive (Hypobromous acid water)</t>
  </si>
  <si>
    <t>G/SPS/N/AUS/394</t>
  </si>
  <si>
    <t>Imported Food Reforms - Consultation regulation impact statement</t>
  </si>
  <si>
    <t>The Australian Government is considering the implications of a range of proposed options for reform to the management of imported food. These reforms aim to better protect the health of Australian consumers by strengthening the ability to identify  respond to and manage food safety risks. The options are broadly similar to recent or planned reforms in Canada  New Zealand and the United States. Information about the proposed changes and the Consultation Regulation Impact Statement (Consultation RIS) can be found on the Department of Agriculture and Water Resources website: http://www.agriculture.gov.au/imported-food-reform. The Consultation RIS examines issues including the estimated benefits and costs of the proposed reform options on food importing businesses  consumers and the Australian Government. The reform options are consistent with the Codex Alimentarius Guidelines for Food Import Control Systems and address inconsistencies between Australia's imported and domestic food legislation. Imported food will continue to be required to meet the same food safety standards as food produced in Australia. Elements of the proposed reform options likely to be of most interest to trading partners include: Supply chain assurance (pages 36-40  56-58 of the Consultation RIS) The proposed reforms will require importers to make a declaration that they have records that provide supply chain assurance for 'prescribed' foods  where border inspection alone would be insufficient to assure the safety of the food. These foods require preventative controls to be in place during their production to ensure safety as border testing alone is insufficient to provide this assurance. See Appendix B for an indicative list of prescribed foods. Australian importers will be able to demonstrate that the food safety hazards associated with higher risk foods have been subjected to preventative controls in a food safety management system by providing a: - recognised government certificate (page 37) or  - recognised non-government certificate  such as certification of a HACCP based food safety management scheme. Broader emergency powers (pages 22 and 58-59) The proposed reforms will extend the use of holding orders to restrict the importation of food if there are reasonable grounds to believe the food needs to be restricted to protect public health and safety. Recognise a foreign country's food safety regulatory system (pages 45-47  60) The authority to recognise foreign country equivalence  exempting all imports from border intervention except where there is evidence of non-compliance or a food safety risk. Traceability (pages 47-53  60) It is proposed that for each consignment of food imported  importers in Australia will need to have accessible records that show who they bought it from and who they sold it to. Australia welcomes feedback from trading partners  including answers to specific questions posed in Chapter 6: Trade Implications (pages 56-62). All page numbers refer to the Consultation RIS.</t>
  </si>
  <si>
    <t>All imported food</t>
  </si>
  <si>
    <t>Food safety  HACCP Plan requirements  Human health</t>
  </si>
  <si>
    <t>G/SPS/N/AUS/391/Corr.1</t>
  </si>
  <si>
    <t>Canned/retorted food - Dairy products (ICS Codes: 0401.10  0401.50  0402.90  0402.10  0402.50  0402.00  0403.90  0404.00  0404.01  0405.00  0406.01)  - Egg products (ICS Codes: 0407.01  0408.00  0410.00  0505.00)  - Meat products (ICS Codes: 0209.01  0210.00  0210.10  0210.90  0210.05  0210.50  0210.60  0210.70  0210.95  0305.00  0305.01  0305.10  0305.90  0306.10  0306.20  0306.90  0306.00  0306.01  0307.00  0307.90  0307.14  0307.15  0307.16  0307.91)  - Food containing more than 5% meat (beef only) from Japan  - Canned meat products (excluding beef)  - Chicken or pork from New Zealand  and - Meat  mixed country origins  exported from New Zealand.</t>
  </si>
  <si>
    <t xml:space="preserve"> HS codes: 0405  0209  0210  0408  0402  0406  0307  0404  0306  040110  0401  0403  0305  040210  030510  0410  0407 </t>
  </si>
  <si>
    <t>Food safety  Animal health  Protect humans from animal/plant pest or disease</t>
  </si>
  <si>
    <t>Animal health  Food safety  Human health  Plant health  Territory protection</t>
  </si>
  <si>
    <t>G/SPS/N/CRI/176</t>
  </si>
  <si>
    <t>Reglamento Técnico Centroamericano RTCA 67.06.74:16  Productos Agropecuarios Orgánicos  Requisitos para la Producción  el Procesamiento  la Comercialización  la Certificación y el Etiquetado (Central American Technical Regulation (RTCA) No. 67.06.74:16: Organic agricultural products. Production  processing  marketing  certification and labelling requirements)</t>
  </si>
  <si>
    <t>The notified Technical Regulation establishes the provisions and procedures governing the production  registration  certification  processing  labelling  storage  transport and marketing of organic agricultural products. It applies to the following products that carry or should carry a descriptive label relating to organic production methods.A product is considered to carry information concerning organic production methods when the label or property claims  including advertising material and commercial documents  describe the product or its ingredients using the terms "organic"  "biological" or "ecological" or other similar internationally recognized vocabulary  including abbreviated forms  which suggest to the buyer that the product or its ingredients have been obtained using organic production methods in the country in which they have been put on the market.  This Technical Regulation is binding upon all natural and legal persons engaged in the production  processing  labelling  storage  transport and marketing of certified organic agricultural products as well as upon the public and private bodies engaged in the registration  control and/or certification of such products.</t>
  </si>
  <si>
    <t>International Classification for Standards (ICS) code 67.040: Food products in general</t>
  </si>
  <si>
    <t>Food safety  Animal health</t>
  </si>
  <si>
    <t>G/SPS/N/USA/79/Add.2</t>
  </si>
  <si>
    <t>Food and feed additives</t>
  </si>
  <si>
    <t>G/SPS/N/TPKM/409</t>
  </si>
  <si>
    <t>Draft of the use restrictions and labeling requirement of aloe</t>
  </si>
  <si>
    <t>According to Articles 15-1 and 22 of the Act Governing Food Safety and Sanitation  the conditions of manufacture and usage quantity of aloe provided for food use is proposed to be restricted  and aloe products shall be labeled with warning information.</t>
  </si>
  <si>
    <t>Aloe products</t>
  </si>
  <si>
    <t xml:space="preserve"> HS codes: 2106 </t>
  </si>
  <si>
    <t>G/SPS/N/NZL/521/Add.1</t>
  </si>
  <si>
    <t>Natural sausage casings</t>
  </si>
  <si>
    <t xml:space="preserve"> HS codes: 0504  1601 </t>
  </si>
  <si>
    <t>G/SPS/N/EGY/77</t>
  </si>
  <si>
    <t>Ministerial Decree No. 244/2016 regarding  the Maximum Residue Limits Of Pesticides In Food And Feed</t>
  </si>
  <si>
    <t>The Ministerial Decree repeals (139) Egyptian standards concerning the maximum residue limits of pesticides. It mandates the use of the Maximum Residue Limits listed in the Codex database "Codex Pesticides Residues in Food" issued by Codex Alimentarius Commission. In case the Codex database does not include a certain value of Pesticides Residues or a certain agriculture product  the values listed in the EU pesticides database issued by the European Commission shall be used. If the European Commission has no adopted values  the tolerance values determined by the United States Environmental Protection Agency (EPA) shall apply. In case of the absence of the allowed maximum pesticide residue limit values for any agricultural crop or product  the maximum pesticide limit values of the nearest group of agricultural crops or products shall be used in the same sequence mentioned above.</t>
  </si>
  <si>
    <t>MRLs of pesticide residues in food and feed</t>
  </si>
  <si>
    <t>Animal feed  Food safety  Human health  Maximum residue limits (MRLs)  Pesticides</t>
  </si>
  <si>
    <t>G/SPS/N/USA/2862/Add.2</t>
  </si>
  <si>
    <t>ICS Code(s): 67. Food contact substances</t>
  </si>
  <si>
    <t>Modification of final date for comments</t>
  </si>
  <si>
    <t>G/SPS/N/AUS/392</t>
  </si>
  <si>
    <t>Proposal to Amend Schedule 20 of the revised Australia New Zealand Food Standards Code (9 August 2016 - Proposed amendment (Agricultural and Veterinary Chemicals Code Instrument No. 4 (MRL Standard) Amendment Instrument 2016 (No. 9)))</t>
  </si>
  <si>
    <t>G/SPS/N/AUS/391</t>
  </si>
  <si>
    <t>BICON import conditions for animal based retorted goods for human consumption</t>
  </si>
  <si>
    <t>The requirement for an import permit will be removed. The goods will still have to meet Australia's import conditions to manage biosecurity risks associated with the goods to an acceptable level. The BICON import conditions for animal based retorted goods for human consumption will require the retorted (canned) goods be accompanied by a veterinary certificate issued by the Government Authority in the country of manufacture. This veterinary certification will need to certify to the import conditions described in the notified document. These import conditions are for all animal based retorted goods for human consumption  excluding retorted: goods from New Zealand  fish products  plant products  snails  and goods containing less than 5 % meat. Less restrictive conditions remain available for these goods. It is expected these changes will take effect later this year. The new import conditions for retorted goods for human consumption and all other commodities will continue to be available through the Department's Biosecurity Import Conditions system (BICON) at: http://www.bicon.agriculture.gov.au/biconweb4.0.</t>
  </si>
  <si>
    <t>Canned/retorted food: - Dairy products (ICS Codes: 0401.10  0401.50  0402.90  0402.10  0402.50  0402.00  0403.90  0404.00  0404.01  0405.00  0406.01)  - Egg products (ICS Codes: 0407.01  0408.00  0410.00  0505.00)  - Meat products (ICS Codes: 0209.01  0210.00  0210.10  0210.90  0210.05  0210.50  0210.60  0210.70  0210.95  0305.00  0305.01  0305.10  0305.90  0306.10  0306.20  0306.90  0306.00  0306.01  0307.00  0307.90  0307.14  0307.15  0307.16  0307.91)  - Food containing more than 5% meat (beef only) from Japan  - Canned meat products (excluding beef)  - Chicken or pork from New Zealand  and - Meat  mixed country origins  exported from New Zealand.</t>
  </si>
  <si>
    <t xml:space="preserve"> HS codes: 0210  0402  0504  0410  0403  0209  0305  0306  0406  0401  0505  0407  0404  0405  0408  0307 </t>
  </si>
  <si>
    <t>Animal health  Food safety  Human health  Maximum residue limits (MRLs)  Pesticides  Plant health  Territory protection</t>
  </si>
  <si>
    <t>Guinea</t>
  </si>
  <si>
    <t>G/SPS/N/GIN/11</t>
  </si>
  <si>
    <t>Homologation de trente-neuf (39) normes dans le domaine agroalimentaire (Approval of 39 agrifood-related standards)</t>
  </si>
  <si>
    <t>The notified regulatory text provides for the mandatory application of 39 approved standards for human health reasons.</t>
  </si>
  <si>
    <t>Pineapples  mangoes  frozen green beans  frozen wax beans  tomatoes  melons  watermelons  fruit juices and nectars  wheat flour  papayas  ground-nuts  whole maize (corn) meal  mayonnaise  dried vegetables  edible sorghum flour  gari  edible cassava flour  olive oil and pomace olive oil  named vegetable oils  edible fats and oils  rice  maize (corn)  honey  whey powders  food additives  evaporated milks  corned beef  whole milk powder and sweetened partially skimmed milk  margarine  processed cheese and cheese spread  cream for direct consumption  food-grade salt  natural mineral waters  bouillons and consommés  sugars  labelling of pre-packaged foods  labelling of food additives  labelling of and claims for pre-packaged foods for special dietary use.</t>
  </si>
  <si>
    <t xml:space="preserve"> HS codes: 15  04  22  10  25  07  17 </t>
  </si>
  <si>
    <t>G/SPS/N/SAU/204</t>
  </si>
  <si>
    <t>Organic Agriculture Law and Organic Agriculture By-Law in Kingdom of Saudi Arabia</t>
  </si>
  <si>
    <t>These Standards applies to all organic products.</t>
  </si>
  <si>
    <t>Organic products which include food products  feeds products and seeds products</t>
  </si>
  <si>
    <t xml:space="preserve"> HS codes: 01  04  10  23  12  08  07 </t>
  </si>
  <si>
    <t>Animal feed  Food safety  Human health  Seeds</t>
  </si>
  <si>
    <t>G/SPS/N/KOR/543</t>
  </si>
  <si>
    <t>Proposed Comprehensive Amendments to the Standards and Specifications for Foods</t>
  </si>
  <si>
    <t>The proposed amendments seek to: 1. Combine the standards and specifications for foods and livestock products  2. Reorganize compilation system of the Standards and Specifications for Foods  3. Adjust the classification of food types based on the content of the raw materials and additive ingredients  4. Simplify and reclassify food types  5. Clarify the requirements for raw materials  6. Add metabolites to residue definition for veterinary drugs  7. Rationalize storage and distribution standards  8. Improve microorganisms and introduce statistical concepts  9. Modify terminologies and wordings such as refining the definitions of food type  10. Revise the methods of sampling and sample handling  11. Establish and revise the general test methods  and 12. Establish and revise the maximum residue limits for pesticides in agricultural products.</t>
  </si>
  <si>
    <t>Bacteria  Food safety  Human health  Maximum residue limits (MRLs)  Pesticides</t>
  </si>
  <si>
    <t>Afghanistan</t>
  </si>
  <si>
    <t>G/SPS/N/AFG/2</t>
  </si>
  <si>
    <t>Law on Food Safety</t>
  </si>
  <si>
    <t>Pursuant to Articles 11  13 and 14 of the Constitution of the Islamic Republic of Afghanistan  this Law provides the conditions to protect human health and life  improve the livelihood of citizens and food safety  ensure the safety of imported  exported  and domestic produced foods  and to ensure the provision of safe and quality food  in accordance with international obligations including relevant WTO agreements. The Law contains a total of six chapters  comprising 30 articles  dealing with: I. General Provisions  II. Food Safety Control Responsibility  III. Food and Its Trade Requirements  IV. Inspections  V. Penalties  and VI. Miscellaneous.</t>
  </si>
  <si>
    <t>G/SPS/N/EU/169</t>
  </si>
  <si>
    <t>Commission Regulation (EU) 2016/1244 of 28 July 2016 amending Annex I to Regulation (EC) No 1334/2008 of the European Parliament and of the Council as regards certain flavouring substances from a group related with an alpha beta unsaturation structure (Text with EEA relevance)</t>
  </si>
  <si>
    <t>The Union list of flavourings and source materials is laid down in Annex I to Regulation (EC) No 1334/3008. The Union list was established by Commission Implementing Regulation (EU) No 872/2012 which will be amended by the notified measure. This amendment concerns the modification of the conditions of use of the following five substances belonging to the chemical subgroup 2.2 of FGE.19 (FGE.208): p-mentha-1 8-dien-7-ol (FL no. 02.060)  myrtenol (FL no. 02.091)  myrtenal (FL no. 05.106)  p mentha-1 8-dien-7-yl acetate (FL no. 09.278)  and myrtenyl acetate (FL no. 09.302). The European Food Safety Authority (EFSA) had requested additional scientific data for completion of the evaluation as flavouring substances of the group of substances FGE.208 composed of ten substances which includes these substances. EFSA evaluated the data on this group of substances in its opinion of 24 June 2015 and concluded that the representative substance of the group p-mentha-1 8-dien-7-al (FL-no 05.117) is genotoxic in vivo and therefore its use as a flavouring substance raises a safety concern. This substance was withdrawn from the Union list with Commission Regulation (EU) 2015/1760 in an urgent procedure. This measure had been notified earlier in G/SPS/N/EU/149. The EFSA opinion is available as Scientific Opinion on Flavouring Group Evaluation 208 Revision 1 (FGE.208Rev1): consideration of genotoxicity data on representatives for ten alicyclic aldehydes with the á â-unsaturation in ring/side-chain and precursors from chemical subgroup 2.2 of FGE.19. EFSA Journal 2015 13(7):4173  28 pp. doi:10.2903/j.efsa.2015.4173 Online at: http://www.efsa.europa.eu/efsajournal. Four additional substances from this group (2 6 6-trimethyl-1-cyclohexen-1-carboxaldehyde  FL no. 05.121  myrtenyl formate  FL no. 09.272  myrtenyl-2-methylbutyrate  FL no. 09.899  and myrtenyl-3-methylbutyrate  FL no. 09.900)  not supported by industry  were also withdrawn from the Union list in a separate  later  measure (Commission Regulation (EU) 2016/637). This measure was notified in notification G/SPS/N/EU/157. The current measure concerns a modification of the conditions of use of the abovementioned five remaining substances of the group FGE.208 to better reflect the current real uses in the food categories specified and not in others  pending the evaluation by EFSA of further additional safety studies which were formally requested by the Commission to interested parties. Once the process of evaluation of these new data is completed (which includes the EFSA risk assessment) these substances will be subject of consideration of an appropriate legislative measure taking into account the EFSA assessment.</t>
  </si>
  <si>
    <t>Foods  flavourings</t>
  </si>
  <si>
    <t>G/SPS/N/CHN/1051</t>
  </si>
  <si>
    <t xml:space="preserve">National Food Safety Standard of the P.R.C.: Maximum Residue Limits for Pesticides in Foods </t>
  </si>
  <si>
    <t>This standard establishes 1058 maximum residue limits (MRLs) for 160 pesticides  including 2  4-D-dimethylammonium  etc. in foods.</t>
  </si>
  <si>
    <t>G/SPS/N/JPN/471</t>
  </si>
  <si>
    <t>Draft revision of the Ministerial Ordinance for Enforcement of the Act on Domestic Animal Infectious Disease Control</t>
  </si>
  <si>
    <t>MAFF is proposing revision of the  Article 45 of the Ministerial Ordinance for Enforcement of the Act on Domestic Animal Infectious Disease Control to add milk products (for details see item 3 above) to the list of items subject to animal quarantine. Once an item is subject to animal quarantine  the import of the said item will not be permitted without an appropriate health certificate issued by the animal health authority of the exporting country. Milk products imported/exported as personal effects are exempted from animal quarantine. Animal Health Requirements are in preparation to set out detailed import conditions for milk products including required statements in the health certificate based on the import risk analysis and Chapters 8.8.24  8.8.25  8.8.35 and 8.8.36 of the OIE Terrestrial Animal Health Code (the OIE code). MAFF will duly notify WTO Members once draft Animal Health Requirements have been developed.</t>
  </si>
  <si>
    <t>Milk products categorized in the following HS codes: - Milk and cream (HS Codes: 04.01 and 04.02) - Buttermilk  curdled milk and cream  yogurt  kephir and other fermented or acidified milk and cream (HS Code: 04.03) - Whey (HS Code: 04.04) - Butter and other fats and oils derived from milk  and dairy spreads (HS Code: 04.05) - Cheese and curd (HS Code: 04.06)  Milk products categorized in the following HS codes which contain ingredients derived from milk: - Lactose and lactose syrup (HS Codes: 1702.11 and 1702.19) - Dog or cat food and animal feed (HS Codes: 2309.10 and 2309.90)  - Casein  caseinates and other casein derivatives (HS Codes: 3501.10 and 3501.90) - Milk albumin and other milk albumin derivatives (HS Codes: 3502.20 and 3502.90)</t>
  </si>
  <si>
    <t xml:space="preserve"> HS codes: 0402  0404  170211  350190  0401  350220  0403  0406  230910  350110  350290  170219  0405  230990 </t>
  </si>
  <si>
    <t>Animal diseases  Animal health</t>
  </si>
  <si>
    <t>G/SPS/N/TPKM/407</t>
  </si>
  <si>
    <t>Import inspection requirement for commodities classified under a specific CCC code if they are used for food purposes</t>
  </si>
  <si>
    <t>Commodities classified under a specific CCC code (1211.90.67.00-4 Lo Han Kuo (Momordicae Fructus)) shall follow the "Regulations of Inspection of Imported Foods and Related Products" if they are used for food purposes. The importers shall apply for inspection to the Food and Drug Administration  Ministry of Health and Welfare.</t>
  </si>
  <si>
    <t>Those food and related products classified under CCC code 1211.90.67.00-4</t>
  </si>
  <si>
    <t xml:space="preserve"> HS codes: 121190 </t>
  </si>
  <si>
    <t>G/SPS/N/DEU/11</t>
  </si>
  <si>
    <t>Draft Twenty-first Ordinance amending the Ordinance on Consumer Goods</t>
  </si>
  <si>
    <t>The Draft Twenty-first Ordinance amending the German Ordinance on Consumer Goods establishes provisions for printed food contact materials. A positive list of evaluated substances permitted to be used in printing inks for food contact materials will be introduced to avoid any negative effects on human health relating to dangerous substances migrating from printed food contact materials into foodstuffs in unacceptable amounts. The positive list will be continuously extended if appropriate toxicological data are made available to the competent authority based on a positive outcome of the risk assessment of these data (even during the notification process). Under specific conditions  other substances not listed in the positive list can be used for food contact materials of which the printed part will not be in direct contact with food  especially migration of these non-evaluated substances into food shall not be detectable (i.e. detection limit 0.01 mg/kg). Printed food contact materials legally placed on the market in accordance with the German provisions applicable before the date of entry into force of this Ordinance can be placed on the market until end of stocks. In addition  the possibility to issue exceptions to the rules stated in this Ordinance can be authorised upon request (based on Article 68 of the German Food and Feed Act  LFGB).</t>
  </si>
  <si>
    <t>Materials and articles in contact with food</t>
  </si>
  <si>
    <t>G/SPS/N/EU/155/Add.1</t>
  </si>
  <si>
    <t>Live animals and products of animal origin</t>
  </si>
  <si>
    <t xml:space="preserve"> HS codes: 3825  1904  3507  1702  0202  0210  2202  1605  7101  2104  0208  9602  3101  0207  1603  0206  1806  1901  0203  1518  2922  3926  0511  0506  0205  1505  3204  2925  1905  2208  2106  0209  3913  3302  0602  3002  3001  2309  3503  0201  1604  2930  2942  0204  3105  3822  2932 </t>
  </si>
  <si>
    <t>G/SPS/N/TPKM/405</t>
  </si>
  <si>
    <t>Draft the use restrictions and label requirement of senna</t>
  </si>
  <si>
    <t>According to Article 15-1 and Article 22 of the Act Governing Food Safety and Sanitation  the conditions of manufacture and usage quantity of senna provided for food use is proposed to be restricted  and senna products shall be labeled with warning information.</t>
  </si>
  <si>
    <t>Senna products</t>
  </si>
  <si>
    <t>G/SPS/N/USA/2577/Add.1</t>
  </si>
  <si>
    <t>Vitamin D2 and vitamin D3 as nutrient supplements in food</t>
  </si>
  <si>
    <t xml:space="preserve"> HS codes: 29  30 </t>
  </si>
  <si>
    <t>G/SPS/N/KOR/542</t>
  </si>
  <si>
    <t>The proposed amendment of the Enforcement Regulation of the Special Act on Imported Food Safety Control</t>
  </si>
  <si>
    <t>The amendment seeks to impose stricter checks on the products imported by dishonest importers.</t>
  </si>
  <si>
    <t>G/SPS/N/KOR/541</t>
  </si>
  <si>
    <t>Proposed Draft Amendment of Special Act on Safety Control of Children Dietary</t>
  </si>
  <si>
    <t xml:space="preserve"> HS codes: 19 </t>
  </si>
  <si>
    <t>G/SPS/N/EU/161/Add.1</t>
  </si>
  <si>
    <t>Maximum residue levels for bifenthrin  carbetamide  cinidon-ethyl  fenpropimorph and triflusulfuron in or on certain products</t>
  </si>
  <si>
    <t>The proposal notified in G/SPS/N/EU/161 (5 April 2016) is now amended as draft Annexes to "Commission Regulation (EU) amending Annexes II  III and V to Regulation (EC) No. 396/2005 of the European Parliament and the Council as regards maximum residue levels for bifenthrin  carbetamide  cinidon-ethyl  fenpropimorph and triflusulfuron in or on certain products". http://members.wto.org/crnattachments/2016/SPS/EEC/16_2847_00_E.pdf http://members.wto.org/crnattachments/2016/SPS/EEC/16_2847_01_E.pdf</t>
  </si>
  <si>
    <t>HS Code(s): Cereals (1001  1002  1003  1004  1005  1006  1007  1008)  foodstuffs of animal origins (0201  0202  0203  0204  0205  0206  0207  0208  0209  0210) and certain products of plant origin  including fruit and vegetables</t>
  </si>
  <si>
    <t xml:space="preserve"> HS codes: 0201  0204  0209  0208  0202  0205  0206  0207  0210  0203 </t>
  </si>
  <si>
    <t>G/SPS/N/USA/691/Add.15</t>
  </si>
  <si>
    <t>Amendments to Registration of Food Facilities  Final Rule</t>
  </si>
  <si>
    <t>The Food and Drug Administration is amending its regulations for registration of food facilities that require domestic and foreign facilities that manufacture/process  pack  or hold food for human or animal consumption in the United States to register with FDA. This rule amends and updates FDA's registration regulations and is part of its implementation of the FDA Food Safety Modernization Act (FSMA)  which added new provisions for the registration of food facilities. These amendments will further enhance FDA's capabilities with respect to responding to food safety issues  and in addition  provide FDA with information that it can use to focus and better utilize its limited inspection resources.  Text is available in English at https://www.gpo.gov/fdsys/pkg/FR-2016-07-14/pdf/2016-16531.pdf.</t>
  </si>
  <si>
    <t>Food for human and animal consumption in the United States  except for meat  poultry and egg products that are exclusively regulated by the US Department of Agriculture</t>
  </si>
  <si>
    <t>G/SPS/N/IDN/112/Corr.1</t>
  </si>
  <si>
    <t xml:space="preserve">Processed food/Microbiological criteria </t>
  </si>
  <si>
    <t>G/SPS/N/TUR/74</t>
  </si>
  <si>
    <t>Turkish Food Codex Regulation on common approval procedure for food additives  food enzymes and food flavourings</t>
  </si>
  <si>
    <t>The purpose of this Regulation is to determine the risk assessment procedure of food additives  food enzymes  food flavourings and source materials of food flavourings and of food ingredients with flavouring properties used or intended for use in foodstuffs and applications in this regard  by considering also the consumer and human health  consumer rights.</t>
  </si>
  <si>
    <t>Food additives  food enzymes and food flavourings</t>
  </si>
  <si>
    <t>G/SPS/N/TUR/73</t>
  </si>
  <si>
    <t>Turkish Food Codex Regulation on Food Enzymes</t>
  </si>
  <si>
    <t>The purpose of this Regulation is to specify the approved food enzymes list  the conditions of use of food enzymes in foods and the rules on the labelling of food enzymes sold as such  including such enzymes used as processing aids  by considering the protection of human health  consumer health and consumer rights  and fair practices in food trade  where appropriate  the protection of the environment.</t>
  </si>
  <si>
    <t>Food enzymes</t>
  </si>
  <si>
    <t xml:space="preserve"> HS codes: 3507 </t>
  </si>
  <si>
    <t>G/SPS/N/NZL/537</t>
  </si>
  <si>
    <t>Proposals to Amend the Maximum Residue Levels for Agricultural Compounds Food Notice 2016</t>
  </si>
  <si>
    <t>The document contains technical details on proposals to amend the 2016 Notice under the Food Act 2014 that lists the maximum residue levels (MRLs) for agricultural compounds in New Zealand.   MPI proposes to add the following new MRLs to the MRL Notice: Abamectin: 0.01 (*) mg/kg when used on bulb onions  and 0.02 mg/kg when used on green onions  Aviglycine: 0.02 mg/kg when used on cherries  Bixafen: 0.05 mg/kg when used on barley  Cephapirin: 0.06 mg/kg in cattle milk  Cyproconazole: 0.05 mg/kg (*) when used on grapes  and 0.5 mg/kg in edible offal (mammals)  0.02 mg/kg in fat (mammalian)  and 0.01 mg/kg in milk as a result of use in beets  Diclazuril: 1.0 mg/kg in cattle and sheep fat  2.0 mg/kg in cattle and sheep kidney  0.5 mg/kg in cattle and sheep muscle  and 3.0 mg/kg in cattle and sheep liver  Fenpyrazamine: 0.05 mg/kg when used on grapes  Fluopyram: 1.0 mg/kg when used on fruiting vegetables (except cucurbits)  Fluxapyroxad: 0.02 mg/kg when used on pome fruits (apples and pears)  Indoxacarb: 0.5 mg/kg when used on brassica vegetables (except cabbage)  3 mg/kg when used on cabbage  and 3 mg/kg when used on head lettuce  Meloxicam: 0.01 mg/kg in sheep fat and muscle  and 0.065 mg/kg in sheep liver and kidney  Metamitron: 0.01 mg/kg (*) when used on apples  Methoxyfenozide: 0.4 mg/kg when used on stone fruit  Prothioconazole: 0.1 mg/kg when used on barley  Spirotetramat: 0.2 mg/kg in apples  Thiamethoxam: 0.01 (*) mg/kg in bulb onions  and 0.2 mg/kg in green onions  Trifloxystrobin: 0.05 mg/kg in fat (mammalian)  0.04 mg/kg in kidney (mammalian)  and 0.05 mg/kg in liver (mammalian) when used on sugar beets and fodder grown for animal feed  Trinexapac-ethyl: 0.05 mg/kg (*) of 4-(cyclopropyl-á-hydroxy-methylene)-3 5-dioxo-cyclohexanecarboxylic acid when used on cereal crops  and 0.2 mg/kg of trinexapac (acid) when used on cereal crops (except maize and sweet corns)  and Tulathromycin: 0.45 mg/kg in sheep muscle  0.25 mg/kg in sheep fat  5.4 mg/kg in sheep liver  and 1.8 mg/kg in sheep kidney. Note: (*) indicates that the maximum residue level has been set at or about the limit of analytical quantification.   MPI also proposes to add the following exceptions from MRLs to the MRL Notice: Mixtures of chito-oligosaccharides and oligogalacturonans  for use on fruits and vegetables  Ozone  for use as an agricultural chemical  Polyoxin D zinc salt  for use as an agricultural chemical  Prohydrojasmon  when used as a colour enhancer on apples.  And to amend existing exceptions as follows: Amend the entry for "Microbial Pesticide Organisms" to change the classification of these substances to "Microbial Active Ingredients"  Amend the entry for "Bismuth and its salts" to include the use of intramammary teat sealants in cattle.  Finally  MPI have proposed to amend the residue definitions for the following compounds:  Emamectin  to harmonise with overseas trading partners and Codex  Indoxacarb  to harmonise with the current definition set by Codex  Prothioconazole  to harmonise it with the current definition set by Codex in 2008  Trinexapac-ethyl  to correct errors in the current Notice entry.</t>
  </si>
  <si>
    <t>Vegetables  fruit  animal products  and other food products</t>
  </si>
  <si>
    <t>G/SPS/N/BRA/1160</t>
  </si>
  <si>
    <t>Draft resolution regarding the active ingredient D36 DIFENOCONAZOLE of the monograph list of active ingredients for pesticides  household cleaning products and wood preservers  published by Resolution - RE n° 165 of 29 August 2003  Brazilian Official Gazette (DOU Diário Oficial da União) of 2 September 2003</t>
  </si>
  <si>
    <t>Same as products covered.</t>
  </si>
  <si>
    <t>Inclusion of the culture of plum and nectarine on foliar application   with Maximum Residue Limit of 2.0mg/kg and safety security period of 10 days  inclusion of the culture of begonia  gerberas  Kalanchoe and roses on foliar application  as culture of non-food use  alteration of maximum resideu limit of the culture of grape on foliar application  from 0.2mg/kg to 0.5mg/kg and safety security period from 21 days to 7 days</t>
  </si>
  <si>
    <t>G/SPS/N/THA/238</t>
  </si>
  <si>
    <t>Draft MOPH Notification  B.E...  entitled "Botanicals  animals or parts of botanicals or animals prohibited when used in food"</t>
  </si>
  <si>
    <t>For consumer protection  the Ministry of Public Health (MOPH) is proposing  based on the scientific evidence  that botanicals  animals or parts of botanicals or animals naturally which contain toxin or substance of concern for human health shall be prohibited to use in food as follows: (1)  List of Botanicals  animals or parts of botanicals or animals shall be prohibited to use in food as in annex of this notification  (2)  This notification shall come into force on the following date after its publication in the Royal Gazette.</t>
  </si>
  <si>
    <t xml:space="preserve"> HS codes: 05  06  07  29  30  02  01  08 </t>
  </si>
  <si>
    <t>Contaminants  Food safety  Human health  Toxins</t>
  </si>
  <si>
    <t>G/SPS/N/EU/152/Add.1</t>
  </si>
  <si>
    <t xml:space="preserve"> HS codes: 0210  0209  1006  1002  0201  0208  0202  1007  1001  0206  0203  0205  1003  1005  1008  0207  0204  1004 </t>
  </si>
  <si>
    <t>G/SPS/N/TUR/72</t>
  </si>
  <si>
    <t>Turkish Food Codex Regulation on The addition of vitamins and minerals and of certain other substances to foods</t>
  </si>
  <si>
    <t>The purpose of this regulation is to determine the rules and procedures for the addition of vitamins  minerals and other substances to foods.</t>
  </si>
  <si>
    <t>Vitamins  minerals  certain other substances and foods</t>
  </si>
  <si>
    <t>G/SPS/N/EU/168</t>
  </si>
  <si>
    <t>Annexes to "Draft Commission Regulation amending Annexes II  III and V to Regulation (EC) No 396/2005 of the European Parliament and of the Council as regards maximum residue levels for bitertanol  tebufenpyrad and chlormequat in or on certain products (Text with EEA relevance)"</t>
  </si>
  <si>
    <t>These notified annexes to the draft Regulation set proposed maximum residue levels for bitertanol  tebufenpyrad and chlormequat in or on certain products in Annex 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</si>
  <si>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0205  0201  0206  1002  0207  0204  1007  1005  0210  1006  0203  1001  1003  0209  0202  1008  1004  0208 </t>
  </si>
  <si>
    <t>G/SPS/N/EU/151/Add.1</t>
  </si>
  <si>
    <t xml:space="preserve"> HS codes: 0201  1008  1004  1003  0206  1001  0202  0209  1002  0210  0203  1005  0205  1007  1006  0207  0208  0204 </t>
  </si>
  <si>
    <t>Adoption/publication/entry into force of reg.  Modification of content/scope of regulation</t>
  </si>
  <si>
    <t>G/SPS/N/EU/150/Add.1</t>
  </si>
  <si>
    <t>G/SPS/N/TPKM/403</t>
  </si>
  <si>
    <t>Food business who imports agro-products and baby foods shall implement food safety monitoring plan and shall conduct periodic tests on those importing products</t>
  </si>
  <si>
    <t>A self-control measure which requires that food businesses who import agro-products and baby foods shall implement a food safety monitoring plan and shall conduct periodic tests on those imported products.</t>
  </si>
  <si>
    <t>Agro-products and baby foods</t>
  </si>
  <si>
    <t xml:space="preserve"> HS codes: 190110 </t>
  </si>
  <si>
    <t>G/SPS/N/TPKM/404</t>
  </si>
  <si>
    <t>Draft of Sanitation Standard for Contaminants and Toxins in Food</t>
  </si>
  <si>
    <t>To amend or establish some standards for the tolerance of heavy metals  mycotoxins  contaminants and toxins in foods.</t>
  </si>
  <si>
    <t>Contaminants and toxins in food</t>
  </si>
  <si>
    <t>Contaminants  Food safety  Human health  Mycotoxins  Toxins</t>
  </si>
  <si>
    <t>G/SPS/N/USA/2870</t>
  </si>
  <si>
    <t>Society of the Plastics Industry  Inc.  Filing of Food Additive Petition  Notice of Petition</t>
  </si>
  <si>
    <t>The Food and Drug Administration has filed a petition  submitted by Keller and Heckman LLP on behalf of the Society of the Plastics Industry  Inc.  requesting that we amend our food additive regulations to no longer provide for the use of potassium perchlorate as an additive in closure-sealing gaskets for food containers because this use has been abandoned.</t>
  </si>
  <si>
    <t>HS Code(s): 28  ICS Code(s): 67  Additive in closure-sealing gaskets for food containers</t>
  </si>
  <si>
    <t xml:space="preserve"> HS codes: 28 </t>
  </si>
  <si>
    <t>Food additives  Food safety  Human health  Packaging</t>
  </si>
  <si>
    <t>G/SPS/N/IDN/112</t>
  </si>
  <si>
    <t xml:space="preserve">Draft Regulation of the Director General of Indonesian National Agency for Drug and Food Control concerning Microbiological Criteria in Processed Food </t>
  </si>
  <si>
    <t>The Maximum Level Requirement of Microbiological and Chemical Contaminant in Processed Food are regulated in the Regulation of the Chairman of NADFC No. HK.00.06.1.52.4011 Year 2009. Due to some regulation development from another countries regarding the maximum microbiological contaminant requirements  and certain requirements from the regulation are not applicable for the last six years  NADFC amends the requirement of microbiological contaminant in Annex part A of the regulation and will revoke and replace with this Draft Regulation of The Chairman of NADFC RI on Microbiological Criteria in Processed Food.   This draft regulates and specifies the microbiological criteria: 1. The type of food category  2. the type of microorganism and the microbiological limits (m M)  and  3. how to control it by guiding the sampling plan to the laboratory test defining the number of sample units to be taken (n)  the size of the analytical unit and where appropriate  and the acceptance number (c).   As this new regulation is issued  therefore the regulation of the Chairman of NADFC No. HK.00.06.1.52.4011 Year 2009  regarding the requirement of Microbiological Contaminants and microbiological criteria in food declared to be invalid.</t>
  </si>
  <si>
    <t>G/SPS/N/KOR/540</t>
  </si>
  <si>
    <t xml:space="preserve"> Proposal to Amend Enforcement Regulation of the Act on Testing and Inspection of Food and Drugs</t>
  </si>
  <si>
    <t>This proposal seeks to: a. Allow testing and Inspection activities records to be documented not only in paper  but also in electronic format.</t>
  </si>
  <si>
    <t>G/SPS/N/TPKM/353/Add.1</t>
  </si>
  <si>
    <t>Food additives to be used in food</t>
  </si>
  <si>
    <t>G/SPS/N/CAN/597/Add.4</t>
  </si>
  <si>
    <t>Food in general (ICS Code: 67.040)</t>
  </si>
  <si>
    <t>G/SPS/N/CAN/597/Add.3</t>
  </si>
  <si>
    <t>G/SPS/N/USA/2869</t>
  </si>
  <si>
    <t>Bacillus Amyloliquefaciens Strain PTA-4838  Exemption From the Requirement of a Tolerance</t>
  </si>
  <si>
    <t>This regulation establishes an exemption from the requirement of a tolerance for residues of the Bacillus amyloliquefaciens strain PTA-4838 on all food commodities when applied or used as a fungicide  nematocide  or plant growth regulator. This regulation eliminates the need to establish a maximum permissible level for residues of Bacillus amyloliquefaciens strain PTA-4838.</t>
  </si>
  <si>
    <t>All food commodities</t>
  </si>
  <si>
    <t>Food safety  Human health  Pesticides  Tolerance exemption</t>
  </si>
  <si>
    <t>G/SPS/N/AUS/389</t>
  </si>
  <si>
    <t>Proposal to Amend Schedule 20 of the revised Australia New Zealand Food Standards Code (28 June 2016 - Proposed amendment (Agricultural and Veterinary Chemicals Code Instrument No. 4 (MRL Standard) Amendment Instrument 2016 (No. 8)))</t>
  </si>
  <si>
    <t>G/SPS/N/THA/155/Rev.1/Add.2</t>
  </si>
  <si>
    <t>Foods (ICS Code: 67.040)</t>
  </si>
  <si>
    <t>G/SPS/N/CAN/870/Add.1</t>
  </si>
  <si>
    <t>Pesticide isofetamid in or on various food commodities (ICS: 65.020  65.100  67.040  67.080  67.200)</t>
  </si>
  <si>
    <t>G/SPS/N/TPKM/402</t>
  </si>
  <si>
    <t>Import inspection requirement for commodities classified under 6 specific CCC codes if they are used for food purposes</t>
  </si>
  <si>
    <t>Commodities classified under six specific CCC codes (including 0712.90.21.00-5 Sweet corn seed  dried) shall follow the "Regulations of Inspection of Imported Foods and Related Products" if they are used for food purposes. The importers shall apply for inspection to the Food and Drug Administration  Ministry of Health and Welfare.</t>
  </si>
  <si>
    <t>Those food and related products classified under six specific CCC codes</t>
  </si>
  <si>
    <t xml:space="preserve"> HS codes: 071290 </t>
  </si>
  <si>
    <t>G/SPS/N/KOR/539</t>
  </si>
  <si>
    <t>Proposed Amendments to the Regulation on Safety Assessment for Genetically Modified Food Products</t>
  </si>
  <si>
    <t>The proposed amendment seeks to: 1. Define self-cloning microorganism  2. Exempt self-cloning microorganism from safety assessment  if it is destined for contained use without antibiotic resistance gene  3. Shorten the standard sample quantity of the host microorganism and its genetically modified strain to submit for safety assessment  4. Shorten the document list to submit for safety assessment with a document that shows removal of genetically modified microorganism and newly introduced gene within final product.</t>
  </si>
  <si>
    <t>Bacteria  Biotechnology  Food safety  Genetically modified organisms  Human health</t>
  </si>
  <si>
    <t>G/SPS/N/USA/2865</t>
  </si>
  <si>
    <t>Styrene Information and Research Center  Filing of Food Additive Petition  Notice of Petition</t>
  </si>
  <si>
    <t>The Food and Drug Administration has filed a petition  submitted by the Styrene Information and Research Center (SIRC)  requesting that we amend our food additive regulations to no longer provide for the use of styrene as a synthetic flavoring substance and adjuvant in food because these uses of styrene have been abandoned.</t>
  </si>
  <si>
    <t>HS Code(s): 29  ICS Code(s): 67  Synthetic flavoring food additives</t>
  </si>
  <si>
    <t xml:space="preserve"> HS codes: 29 </t>
  </si>
  <si>
    <t>G/SPS/N/CAN/1035</t>
  </si>
  <si>
    <t>Proposal to amend the List of Maximum Residue Limits (MRLs) for Veterinary Drugs in Foods (Proposed MRL 2016-1)</t>
  </si>
  <si>
    <t>This notification is further to the SPS notification G/SPS/N/CAN/597/Add.2  where the Minister of Health has issued a Ministerial Regulation entitled "Marketing Authorization (MA) for Maximum Residue Limits (MRLs) for Veterinary Drugs in Foods" pursuant to section 30.3(1) and 30.5(1) of the Food and Drugs Act.    The online "List of Maximum Residue Limits (MRLs) for Veterinary Drugs in Foods" http://www.hc-sc.gc.ca/dhp-mps/vet/mrl-lmr/mrl-lmr_versus_new-nouveau-eng.php  (referred hereafter as the List) is incorporated by reference and is maintained on Health Canada's website. Any proposed changes will continue to be the subject of consultation  public and international notification  and the List will then be updated administratively.   The purpose of this proposal is to notify of a consultation on proposed changes to the List. The proposal includes MRLs for new veterinary drugs (for which MRLs have not previously been established in any food)  for new foods for existing veterinary drugs on the List  for revisions to existing MRLs  and for removals of some MRLs from the List. Rigorous safety assessments have been conducted to derive these MRLs. Residue compliance for the proposed MRLs has either been monitored and confirmed by the Canadian Food Inspection Agency (CFIA)  or will be incorporated in future monitoring programs.</t>
  </si>
  <si>
    <t>G/SPS/N/USA/2862/Add.1</t>
  </si>
  <si>
    <t xml:space="preserve"> HS codes: 3924  3923 </t>
  </si>
  <si>
    <t>G/SPS/N/KOR/538</t>
  </si>
  <si>
    <t>The proposed amendments seek to: 1. Allow storing and distributing of hermetically sealed soybean curd  whole soybean curd and starch gel (muk) at room temperature  2. Mitigate the Escherichia coli standard for prepared foods in restaurants (including catering foods) to practical level  3. Establish and revise the maximum residue limits for pesticides: - Establish the maximum residue limits for three newly registered pesticides (Isofetamid  etc.)  - Expand the range of target agricultural products for 40 pesticides (Glufosinate  etc.)  - Revise the definition of residues for four pesticides (Benfuracarb  etc.)  4. Establish the maximum residue limits for veterinary drug (Nandrolone) in foods  5. Establish and revise the general testing methods.</t>
  </si>
  <si>
    <t>Bacteria  Escherichia coli  Food safety  Human health  Maximum residue limits (MRLs)  Pesticides  Veterinary drugs</t>
  </si>
  <si>
    <t>Macao  China</t>
  </si>
  <si>
    <t>G/SPS/N/MAC/19</t>
  </si>
  <si>
    <t>Regulamento Administrativo no. 13/2016 Limites máximos de micotoxinas em alimentos (Administrative Regulation No. 13/2016 Maximum Limits of Mycotoxins in Food)</t>
  </si>
  <si>
    <t xml:space="preserve">The Administrative Regulation No. 13/2016 Maximum Limits of Mycotoxins in Food is a food safety standard that establishes the maximum levels of mycotoxins in various foodstuffs. The administrative regulation stipulates that levels of specified mycotoxins in food  including aflatoxin B1  aflatoxin M1  ochratoxin A and patulin  shall conform to the limits listed in this regulation. In this administrative regulation  mycotoxins refer to toxic secondary metabolites produced by molds during their growth and reproduction  maximum limits are defined as the maximum levels of mycotoxins  expressed in ìg/kg  legally established for the edible part of the food. </t>
  </si>
  <si>
    <t>Aflatoxins  Contaminants  Food safety  Human health  Mycotoxins  Ochratoxin  Toxins</t>
  </si>
  <si>
    <t>G/SPS/N/TPKM/400</t>
  </si>
  <si>
    <t>Food business who imports meat products  dairy products and fishery products shall implement food safety monitoring plan and shall conduct periodic tests on those importing products.</t>
  </si>
  <si>
    <t xml:space="preserve"> A self-control measure was announced indicating that food business who imports meat products  dairy products and fishery products shall implement food safety monitoring plan and shall contract periodic tests on those importing products.</t>
  </si>
  <si>
    <t>Meat  dairy and seafood products</t>
  </si>
  <si>
    <t xml:space="preserve"> HS codes: 04  03  02 </t>
  </si>
  <si>
    <t>G/SPS/N/BRA/1132</t>
  </si>
  <si>
    <t>Draft resolution regarding the active ingredient A14 ATRAZINE of the monograph list of active ingredients for pesticides  household cleaning products and wood preservers  published by Resolution - RE no. 165 of 29 August 2003  Brazilian Official Gazette (DOU Diário Oficial da União) of 2 September 2003</t>
  </si>
  <si>
    <t>Same as products covered under item 3 above.</t>
  </si>
  <si>
    <t xml:space="preserve">Pre/Post-emergency application in cultures of pineapple (0.02mg/kg safety security period of 72 days)  sugarcane (0.25mg/kg safety security period not determined due to the mode of use)  corn (0.25mg/kg safety security period not determined due to the mode of use)  pinus (non-food use)  rubber tree (non-food use)  sisal (non-food use)  sorghum (0.25mg/kg safety security period not determined due to the mode of use). Pre-emergency application in cultures of millet (0.25mg/kg safety security period not determined due to the mode of use). </t>
  </si>
  <si>
    <t>G/SPS/N/BRA/1124</t>
  </si>
  <si>
    <t>Draft resolution regarding the active ingredient F18 FOSETYL of the monograph list of active ingredients for pesticides  household cleaning products and wood preservers  published by Resolution - RE no. 165 of 29 August 2003  Brazilian Official Gazette (DOU Diário Oficial da União) of 2 September 2003</t>
  </si>
  <si>
    <t>Same as products covered under item 3 above. Details on the link.</t>
  </si>
  <si>
    <t xml:space="preserve">Peduncles immersion application in cultures of pineapple (0.2mg/kg safety security period of 20 days). Foliar application in cultures of pineapple (0.2mg/kg safety security period of 20 days)  coffee (0.05mg/kg safety security period of 30 days)  citrus (0.5mg/kg safety security period of 25 days)  apple (0.05mg/kg safety security period of 35 days)  rose (non-food use)  rubber tree (non-food use)  grape (6.0mg/kg safety security period of 15 days).    </t>
  </si>
  <si>
    <t>G/SPS/N/AUS/388</t>
  </si>
  <si>
    <t xml:space="preserve">Proposal to Amend Schedule 20 of the revised Australia New Zealand Food Standards Code (31 May 2016 - Proposed amendment (Agricultural and Veterinary Chemicals Code Instrument No. 4 (MRL Standard) Amendment Instrument 2016 (No. 7))) </t>
  </si>
  <si>
    <t>G/SPS/N/JPN/465</t>
  </si>
  <si>
    <t>Amendment the Standards and Specifications for Foods and Food Additives</t>
  </si>
  <si>
    <t>Revision of specifications for Asparaginase.</t>
  </si>
  <si>
    <t>Food additive (Asparaginase)</t>
  </si>
  <si>
    <t>G/SPS/N/JPN/464</t>
  </si>
  <si>
    <t>Authorization of Sodium Selenite as food additives and establishment of standards and specifications.</t>
  </si>
  <si>
    <t>Food additive (Sodium Selenite)</t>
  </si>
  <si>
    <t>G/SPS/N/BRA/1114</t>
  </si>
  <si>
    <t>Draft resolution regarding the active ingredient E19 ETOFENPROX of the monograph list of active ingredients for pesticides  household cleaning products and wood preservers  published by Resolution - RE no. 165 of 29 August 2003  Brazilian Official Gazette (DOU Diário Oficial da União) of 2 September 2003</t>
  </si>
  <si>
    <t xml:space="preserve">Foliar application in cultures on cotton leaves (0.5mg/kg safety security period of 15 days)  rice (3.0mg/kg safety security period of 3 days)  oat (2.0mg/kg safety security period of 7 days)  coffee (0.05mg/kg safety security period of 14 days)  barley (2.0mg/kg safety security period of 7 days)  citrus (0.2mg/kg safety security period of 7 days)  coconut (0.3mg/kg safety security period of 21 days)  dende (0.3mg/kg safety security period of 21 days)  eucalyptus (non-food use)  bean (0.5mg/kg safety security period of 3 days)  tobacco (non-food use)  apple (2.0mg/kg safety security period of 14 days)  mango (0.3mg/kg safety security period of 1 day)  melon (0.1mg/kg safety security period of 1 day)  corn (0.05mg/kg safety security period of 3 days)  peach (0.05mg/kg safety security period of 7 days)  soy (1.0mg/kg safety security period of 15 days)  tomato (0.5mg/kg safety security period of 3 days)  wheat (1.0mg/kg safety security period of 16 days)  grape (1.5mg/kg safety security period of 7 days). </t>
  </si>
  <si>
    <t>Foliar application in cultures on cotton leaves (0.5mg/kg safety security period of 15 days)  rice (3.0mg/kg safety security period of 3 days)  oat (2.0mg/kg safety security period of 7 days)  coffee (0.05mg/kg safety security period of 14 days)  barley (2.0mg/kg safety security period of 7 days)  citrus (0.2mg/kg safety security period of 7 days)  coconut (0.3mg/kg safety security period of 21 days)  dende (0.3mg/kg safety security period of 21 days)  eucalyptus (non-food use)  bean (0.5mg/kg safety security period of 3 days)  tobacco (non-food use)  apple (2.0mg/kg safety security period of 14 days)  mango (0.3mg/kg safety security period of 1 day)  melon (0.1mg/kg safety security period of 1 day)  corn (0.05mg/kg safety security period of 3 days)  peach (0.05mg/kg safety security period of 7 days)  soy (1.0mg/kg safety security period of 15 days)  tomato (0.5mg/kg safety security period of 3 days)  wheat (1.0mg/kg safety security period of 16 days)  grape (1.5mg/kg safety security period of 7 days)</t>
  </si>
  <si>
    <t>G/SPS/N/BRA/1117</t>
  </si>
  <si>
    <t>Draft resolution regarding the active ingredient I16 IMIBENCONAZOLE of the monograph list of active ingredients for pesticides  household cleaning products and wood preservers  published by Resolution - RE no. 165 of 29 August 2003  Brazilian Official Gazette (DOU Diário Oficial da União) of 2 September 2003</t>
  </si>
  <si>
    <t>Foliar application in cultures of chrysanthemum (non-food use)  pea (0.3mg/kg safety security period of 7 days)  bean (0.3mg/kg safety security period of 7 days)  apple (1.0mg/kg safety security period of 7 days)  watermelon (0.5mg/kg safety security period of 7 days)  melon (0.5mg/kg safety security period of 3 days)  strawberry (0.5mg/kg safety security period of 7 days)  cucumber (0.2mg/kg safety security period of 3 days)  okra (0.2mg/kg safety security period of 7 days)  grape (2.0mg/kg safety security period of 14 days)</t>
  </si>
  <si>
    <t>G/SPS/N/BRA/1115</t>
  </si>
  <si>
    <t>Draft resolution regarding the active ingredient C60 ZETA-CYPERMETHRIN of the monograph list of active ingredients for pesticides  household cleaning products and wood preservers  published by Resolution - RE no. 165 of 29 August 2003  Brazilian Official Gazette (DOU Diário Oficial da União) of 2 September 2003</t>
  </si>
  <si>
    <t>Same as products covered under point 3 above.</t>
  </si>
  <si>
    <t>Foliar application in cultures of cotton (leaves) (0.05mg/kg safety security period of 15 days)  rice (0.05mg/kg safety security period of 7 days)  potato (0.02mg/kg safety security period of 7 days)  coffee (0.05mg/kg safety security period of 15 days)  onion (0.05mg/kg safety security period of 5 days)  citrus (0.01mg/kg safety security period of 3 days)  kale (2.0mg/kg safety security period of 7 days)  eucalyptus (non-food use)  bean (0.02mg/kg safety security period of 15 days)  cassava (0.02mg/kg safety security period of 7 days)  millet (0.05mg/kg safety security period of 20 days)  corn (0.05mg/kg safety security period of 20 days)  soy (0.05mg/kg safety security period of 15 days)  wheat (0.3mg/kg safety security period of 15 days)  tomato (0.05mg/kg safety security period of 5 days)  grape (0.5mg/kg safety security period of 15 days)</t>
  </si>
  <si>
    <t>G/SPS/N/IND/148</t>
  </si>
  <si>
    <t>The draft Food Safety and Standards (Prohibition and Restrictions on Sales) Amendment Regulations  2016</t>
  </si>
  <si>
    <t>The draft Food Safety and Standards (Prohibition and Restrictions on Sales) Amendment Regulations  2016 related to the prohibition of use of carbide gas in ripening of fruits.</t>
  </si>
  <si>
    <t>G/SPS/N/ARE/72</t>
  </si>
  <si>
    <t>The United Arab Emirates Drafted an federal bylaw on food safety law</t>
  </si>
  <si>
    <t>The proposed bylaw applies on all stages of food and feed chain to ensure the safety and safeguard of public health and animal health from harmful substances resulting from unsafe food and feed.  This regulation contains the procedures and requirements necessary for The food at all stages of the food chain  Terms of food and feed registration  food and feed handling (both local and imported food and feed)  as well as definitions (harmful food   Rotten food  Adulterated food  misleading food  etc.).</t>
  </si>
  <si>
    <t>Food safety  Animal health  Plant protection  Protect humans from animal/plant pest or disease</t>
  </si>
  <si>
    <t>Animal feed  Animal health  Contaminants  Food safety  Human health</t>
  </si>
  <si>
    <t>G/SPS/N/IND/147</t>
  </si>
  <si>
    <t>The draft Food Safety and Standards (Food Products Standards and Food Additives) Amendment Regulations  2016 details the standards for chocolates.</t>
  </si>
  <si>
    <t>Standards for chocolates</t>
  </si>
  <si>
    <t xml:space="preserve"> HS codes: 1806 </t>
  </si>
  <si>
    <t>G/SPS/N/USA/2862</t>
  </si>
  <si>
    <t>Breast Cancer Fund  Center for Environmental Health  Center for Food Safety  Center for Science In The Public Interest  Clean Water Action  Consumer Federation of America  Earthjustice  Environmental Defense Fund  Improving Kids' Environment  Learning Disabilities Association of America  and Natural Resources Defense Council  Filing of Food Additive Petition  Notice of Petition</t>
  </si>
  <si>
    <t>The Food and Drug Administration has filed a petition  submitted by Breast Cancer Fund  Center for Environmental Health  Center for Food Safety  Center for Science in the Public Interest  Clean Water Action  Consumer Federation of America  Earthjustice  Environmental Defense Fund  Improving Kids' Environment  Learning Disabilities Association of America  and Natural Resources Defense Council proposing that we amend and/or revoke specified regulations to no longer provide for the food contact use of specified ortho-phthalates.</t>
  </si>
  <si>
    <t xml:space="preserve"> HS codes: 3923  3924 </t>
  </si>
  <si>
    <t>G/SPS/N/KOR/536</t>
  </si>
  <si>
    <t>Proposal to Amend the Testing and Inspection of Food and Drugs Act</t>
  </si>
  <si>
    <t>This proposal seeks to: a. Prohibit MFDS issued certificate rental behaviour of testing laboratories  b. Establish a legal basis for appointing laboratory supervisors who have knowledge and experienced in related area.</t>
  </si>
  <si>
    <t>Certification  control and inspection  Food safety  Human health</t>
  </si>
  <si>
    <t>G/SPS/N/EU/165</t>
  </si>
  <si>
    <t>Commission Regulation (EU) 2016/683 of 2 May 2016 amending Annex II to Regulation (EC) No 1333/2008 of the European Parliament and of the Council as regards the use of propionic acid-propionates (E 280-283) in tortillas (Text with EEA relevance)</t>
  </si>
  <si>
    <t>The use of Propionic acid-propionates is requested for the extension of the shelf-life of tortillas. Propionic acid-propionates are widely used to prevent the growth of moulds in leavened bakery products  due to their minimal effect on yeast and on the odour or taste of the final product. The European Food Safety Authority ("the Authority")  in its opinion on the re-evaluation of propionic acid (E 280)  sodium propionate (E 281)  calcium propionate (E 282) and potassium propionate (E 283) as food additives  concluded that there would not be a safety concern from the maximum concentrations of those substances at their currently authorised uses and use levels as food additives. The authorisation of the use of propionates in tortillas is an extension which would not lead to additional concern as the exposure assessment done by the Authority covered food category 07.1 Bread and rolls.</t>
  </si>
  <si>
    <t>G/SPS/N/EU/156/Add.1</t>
  </si>
  <si>
    <t>G/SPS/N/AUS/387</t>
  </si>
  <si>
    <t>Proposal to Amend Schedule 20 of the revised Australia New Zealand Food Standards Code (3 May 2016 - Proposed amendment (Agricultural and Veterinary Chemicals Code Instrument No. 4 (MRL Standard) Amendment Instrument 2016 (No. 5))</t>
  </si>
  <si>
    <t>G/SPS/N/IND/146</t>
  </si>
  <si>
    <t>The draft Food Safety and Standards (Food Products Standards and Food Additives) Amendment Regulations  2016  Restrictions relating to conditions for sale.</t>
  </si>
  <si>
    <t xml:space="preserve"> HS codes: 06 </t>
  </si>
  <si>
    <t>G/SPS/N/TPKM/397</t>
  </si>
  <si>
    <t>The Draft Amendment of  Standards for Specification  Scope  Application and Limitation of Food Additives</t>
  </si>
  <si>
    <t>Deletion of Chlorinated Lime  Sodium Hypochlorite Solution and Chlorine Dioxide  which are used for drinking water quality treatment  from food additive.</t>
  </si>
  <si>
    <t>G/SPS/N/IDN/109</t>
  </si>
  <si>
    <t>Regulation of the Minister of Agriculture of the Republic of Indonesia No. 13/Permentan/Kr.040/4/2016 concerning Amendments to the Regulation of the Minister of Agriculture No. 04/Permentan/Pp.340/2/2015 concerning Food Safety Control on the Importation and Exportation of Fresh Food of Plant Origin</t>
  </si>
  <si>
    <t>This Regulation is the amendment of several provisions in the Regulation of the Minister of Agriculture No. 04/Permentan/PP.340/2/2015 concerning Food Safety Control on the Importation and Exportation of Fresh Food of Plant Origin (Official Gazette 2015 No. 275). This regulation covers quarantine and food safety requirements for the importation of Fresh Food of Plant Origin (FFPO).  It specifies some provisions on the Regulation of the Minister of Agriculture No. 04/2015 that were amended as follows: - Article 7 para (1)  description of FFPO (prior notice) as referred to in Article 6 must be issued by the exporter in the country of origin at the latest before the ship departed from the country of origin. - Between Article 61 and Article 62 inserted 4 (four) new Articles  namely Article 61A  Article 61B  Article 61C and Article 61D to read as follows:  Article 61A (1) The fulfillment of the procedure for issuance of Prior Notice and the procedure for issuance of certificate of test results (Certificate of Analysis) as referred to in Article 7 until Article 10 is given a maximum period of 2 (two) years from the promulgation of this Ministerial Regulation. (2) The fulfillment referred to in para (1) in the form of: a. prior notice form  b. the use of the official portal of Indonesian Agricultural Quarantine Agency  and c. certificate of test results (Certificate of Analysis) form.  (3) If the period referred to in para (1) expires  the procedures for issuance of Prior Notice and the issuance of certificates of test results (Certificate of Analysis) shall comply with the provisions referred to in Article 7 to Article 10. Article 61B (1) If the country of origin is not yet recognized for its food safety control system and is not yet registered for food safety testing laboratory/ies  FFPO importation must be accompanied by: a. prior notice  and b. certificate of test results (Certificate of Analysis). (2) The issuance of Prior Notice as referred to in para (1) point a shall be in accordance with the provisions referred to in Article 7 to Article 9. (3) Certificate of test results (Certificate of Analysis) as referred to in para (1)  point b must be issued by a testing laboratory in other countries that have been registered. (4) Test parameters as referred to in para (3) refers to Annex I. Article 61C (1) Importation of FFPO as referred to in Article 61B will be valid for a period of 2 (two) years  from the promulgation of this Ministerial Regulation. (2) If the period referred to in para (1) expires  the provisions on import requirements of FFPO as referred to in Article 4 until Article 10 shall apply mutatis mutandis to the importation of FFPO as referred to in Article 61B. Article 61D (1) If the FFPO comes from countries that are not yet recognized for its food safety control system and are not yet registered for food safety testing laboratory/ies  and has been loaded into the conveyance since 17 February 2016  FFPO testing is carried out at the entry point. (2) The testing of FFPO referred to in para (1) will be valid for a period of 6 (six) months  since the promulgation of this Ministerial Regulation. (3) If the period referred to in para (2) expires  the importation of FPPO must follow the provisions as referred to in Article 61B. - Other provisions in the Regulation of the Minister of Agriculture No.  04/Permentan/PP.340/2/2015 concerning Food Safety Control on the Importation and Exportation of Fresh Food of Plant Origin are not amended and still valid. - This Regulation comes into force on the date of promulgation.</t>
  </si>
  <si>
    <t>Fresh food of plant origin (fresh fruits  vegetables  grains  nuts  pulses and estate/private crops)</t>
  </si>
  <si>
    <t xml:space="preserve"> HS codes: 07  08  10 </t>
  </si>
  <si>
    <t>G/SPS/N/EU/120/Add.1</t>
  </si>
  <si>
    <t>Rice and some derived food commodities</t>
  </si>
  <si>
    <t xml:space="preserve"> HS codes: 1006 </t>
  </si>
  <si>
    <t>G/SPS/N/KOR/534</t>
  </si>
  <si>
    <t>Proposed Food Labelling Act</t>
  </si>
  <si>
    <t xml:space="preserve"> The proposed Act seeks to: - Improve predictability and feasibility for industries and consumers to access relevant provisions by consolidating all provisions relating to labelling and advertising prescribed in three acts  which are Food Sanitation Act  Livestock Products sanitary Control Act  Functional Health Foods Act  and their related notifications  - Satisfy consumers demand to know  and facilitate fair trade by clarifying provisions to prevent false or exaggerated labelling or advertising  and - Repeal the current provisions on Deliberation on Labels and Advertisements regarding infant foods  specially designed foods for weight control and health foods.</t>
  </si>
  <si>
    <t>G/SPS/N/EU/157/Add.1</t>
  </si>
  <si>
    <t>G/SPS/N/EU/144/Add.1</t>
  </si>
  <si>
    <t xml:space="preserve"> HS codes: 0208  0203  1007  1003  1005  1002  0209  1008  0207  0201  0202  1006  0205  0204  1001  0210  0206  1004 </t>
  </si>
  <si>
    <t>Sri Lanka</t>
  </si>
  <si>
    <t>G/SPS/N/LKA/20/Add.1</t>
  </si>
  <si>
    <t>Food preservatives</t>
  </si>
  <si>
    <t>G/SPS/N/LKA/21/Add.1</t>
  </si>
  <si>
    <t>Food additives - General</t>
  </si>
  <si>
    <t>G/SPS/N/TUR/71</t>
  </si>
  <si>
    <t>Turkish Food Codex  Regulation on Maximum residue levels of pesticides</t>
  </si>
  <si>
    <t>Maximum residue levels of pesticides in or on food of plant and animal origin.</t>
  </si>
  <si>
    <t>Maximum residue levels of pesticides in or on food of plant and animal origin</t>
  </si>
  <si>
    <t>G/SPS/N/EU/116/Add.1</t>
  </si>
  <si>
    <t xml:space="preserve"> HS codes: 0209  0205  0208  1002  1003  0207  1005  1007  0203  0201  1006  0202  1008  0206  0210  1004  1001  0204 </t>
  </si>
  <si>
    <t>G/SPS/N/TPKM/396</t>
  </si>
  <si>
    <t>Import inspection requirement for commodities classified under 18 specific CCC codes if they are used for food or food additives</t>
  </si>
  <si>
    <t>Commodities classified under 18 specific CCC codes shall follow the "Regulations of Inspection of Imported Foods and Related Products" if they are used for food or food additives. The importers shall apply for inspection to the Food and Drug Administration  Ministry of Health and Welfare.</t>
  </si>
  <si>
    <t>Those food additives or foods classified under 18 specific CCC codes</t>
  </si>
  <si>
    <t xml:space="preserve"> HS codes: 293790  293999  152000  300490  300450  294200  300120  300190  300210  151800  293712  300390  293721 </t>
  </si>
  <si>
    <t>G/SPS/N/EU/138/Add.1</t>
  </si>
  <si>
    <t>G/SPS/N/EU/139/Add.1</t>
  </si>
  <si>
    <t>G/SPS/N/EU/142/Add.1</t>
  </si>
  <si>
    <t xml:space="preserve"> HS codes: 0207  1008  1003  1002  0208  0209  1005  0203  1007  0201  0210  0206  1004  0205  1006  1001  0202  0204 </t>
  </si>
  <si>
    <t>G/SPS/N/EU/136/Add.2</t>
  </si>
  <si>
    <t xml:space="preserve"> HS codes: 0202  0201  1006  0204  1004  0206  0210  1001  0205  1007  0203  0208  1002  1005  1003  1008  0207  0209 </t>
  </si>
  <si>
    <t>G/SPS/N/EU/133/Add.1</t>
  </si>
  <si>
    <t xml:space="preserve"> HS codes: 0208  1008  1003  1005  1002  0203  1007  0205  1006  1001  0201  0207  0204  0206  0210  0209  1004  0202 </t>
  </si>
  <si>
    <t>G/SPS/N/EU/117/Add.1</t>
  </si>
  <si>
    <t xml:space="preserve"> HS codes: 0202  1004  0209  0210  0206  0204  0207  0201  1001  1006  0205  1007  0203  1002  1005  1003  1008  0208 </t>
  </si>
  <si>
    <t>G/SPS/N/EU/106/Add.1</t>
  </si>
  <si>
    <t xml:space="preserve"> HS codes: 1005  0208  0207  1008  1003  1002  0203  1007  0209  1006  1001  0205  0206  0210  1004  0201  0202  0204 </t>
  </si>
  <si>
    <t>G/SPS/N/AUS/385</t>
  </si>
  <si>
    <t>Proposal P1027 - Managing Low Level Agricultural and Veterinary Chemicals without Maximum Residue Limits</t>
  </si>
  <si>
    <t>This Proposal seeks to include all other foods MRLs or the alternate all other foods except animal commodities MRLs  for the presence in food commodities of inadvertent residues of agricultural and veterinary (agvet) chemicals currently listed in Schedule 20 in the Australia New Zealand Food Standards Code. It addresses the long-standing problem of the zero tolerance approach to the presence of low level inadvertent agvet chemical residues in food commodities  (domestically produced and imported) sold in Australia. The all other foods MRLs were proposed using a pilot methodology developed for an initial sub-set of twenty-one chemicals already listed in the Code  based on case-by-case risk assessment including dietary exposure assessment. The all other foods MRLs apply to foods other than the primary commodity  raw agricultural commodity or derived foods that have MRLs currently listed in the Code for the particular chemical.</t>
  </si>
  <si>
    <t>Foods sold in Australia (both imported and domestically produced)</t>
  </si>
  <si>
    <t>G/SPS/N/VNM/77</t>
  </si>
  <si>
    <t>Draft Decree regulates conditions of producing  selling  advertising  testing of food  and designates organizations to certify compliance  to conduct state inspection on food safety for imported food belonging to the responsibility of the Ministry of Health</t>
  </si>
  <si>
    <t>It regulates conditions of producing  selling  advertising  testing of food  and designates organizations to certify compliance  to conduct state inspection on food safety for imported food belonging to the responsibility of the Ministry of Health.</t>
  </si>
  <si>
    <t>Food belonging to the responsibility of the Ministry of Health  including food additives  substances assisting food processing  bottled water  mineral water  functional food and other kind of food belonging to the responsibility of the Ministry of Health in accordance with the Government's regulations</t>
  </si>
  <si>
    <t>G/SPS/N/RUS/121</t>
  </si>
  <si>
    <t>Draft order of the Ministry of Agriculture of the Russian Federation on amendments to Administrative regulation concerning permits issuing by the Federal Service of Veterinary and Phytosanitary Surveillance for import  export and transit through the territory of the Russian Federation of animals  products of animal origin  medicinal products for veterinary use  feed and feed additives for animals  adopted by the Ministry of Agriculture of the Russian Federation Order No. 404 as of 7 November 2011</t>
  </si>
  <si>
    <t>This document specifies the product list which should be accompanied by import or export permit while importing to the Russian Federation or exporting from Russia.</t>
  </si>
  <si>
    <t>Products covered by the Common list of goods subject to veterinary control (surveillance)  adopted by the Customs Union Commission Decision No. 317 as of 18 June 2010</t>
  </si>
  <si>
    <t xml:space="preserve"> HS codes: 02  01  30  23  04 </t>
  </si>
  <si>
    <t>G/SPS/N/USA/2631/Add.2</t>
  </si>
  <si>
    <t>HS Codes: 03  04  05  07  08  09  10  12  15  17  18  19  20  21  22. Food for human and animal consumption except meat  poultry  and processed egg products. However  shelf stable foods  live food animals  and raw agricultural commodities transported by farms are exempt from the requirements of this proposed rule.</t>
  </si>
  <si>
    <t xml:space="preserve"> HS codes: 09  04  17  12  03  08  07  05  19  20  10  21  18  15  22 </t>
  </si>
  <si>
    <t>G/SPS/N/TPKM/392</t>
  </si>
  <si>
    <t>Amendments of specification of calcium chloride  lactic acid  dl-malic acid  sodium DL-malate and acesulfame potassium.</t>
  </si>
  <si>
    <t>G/SPS/N/AUS/383</t>
  </si>
  <si>
    <t>Proposal to Amend Schedule 20 of the revised Australia New Zealand Food Standards Code (5 April 2016 - Proposed amendment (Agricultural and Veterinary Chemicals Code Instrument No. 4 (MRL Standard) Amendment Instrument 2016 (No. 4)))</t>
  </si>
  <si>
    <t>G/SPS/N/EU/163</t>
  </si>
  <si>
    <t>Annexes to Draft Commission Regulation amending Annex II  III and V to Regulation (EC) No 396/2005 of the European Parliament and of the Council as regards maximum residue levels for aclonifen  deltamethrin  fluazinam  methomyl  sulcotrione and thiodicarb in or on certain products (Text with EEA relevance)</t>
  </si>
  <si>
    <t>These notified annexes to the draft Regulation set proposed maximum residue levels for aclonifen  deltamethrin  fluazinam  methomyl  sulcotrione and thiodicarb in or on certain products in Annex II  III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</si>
  <si>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0209  0204  0210  0202  0208  0205  0201  1001  1007  1006  1003  1004  0207  1008  1005  1002  0203  0206 </t>
  </si>
  <si>
    <t>G/SPS/N/EU/161</t>
  </si>
  <si>
    <t>Annexes to "Commission Regulation (EU) xxxx/xxxx amending Annexes II and III to Regulation (EC) No 396/2005 of the European Parliament and the Council as regards maximum residue levels for acrinathrin  bifenthrin  carbetamide  cinidon-ethyl  fenpropimorph  metalaxyl and triflusulfuron in or on certain products</t>
  </si>
  <si>
    <t>These notified annexes to the draft Regulation set proposed maximum residue levels (MRLs) for the substances acrinathrin  bifenthrin  carbetamide  cinidon-ethyl  fenpropimorph  metalaxyl and triflusulfuron. MRLs for these substances in certain commodities are changed: either increased or lowered. Lower MRLs are set after updating the limit of determinations and/or deleting old uses which are not authorised any more in the European Union or for which a human health concern may not be excluded. The residue definitions of the substances have also been updated.</t>
  </si>
  <si>
    <t xml:space="preserve"> HS codes: 0210  0206  0209  0205  1001  1003  0201  1007  1005  0203  1006  0202  1004  1008  0204  1002  0207  0208 </t>
  </si>
  <si>
    <t>G/SPS/N/EU/160</t>
  </si>
  <si>
    <t>Annexes to Draft Commission Regulation amending Annexes II and III to Regulation (EC) No 396/2005 of the European Parliament and of the Council as regards maximum residue levels for cymoxanil  phosphane and phosphide salts and sodium 5-nitroguaiacolate  sodium onitrophenolate and sodium p-nitrophenolatein in or on certain products (Text with EEA relevance)</t>
  </si>
  <si>
    <t>These notified annexes to the draft Regulation set proposed maximum residue levels for cymoxanil  phosphane and phosphide salts and sodium 5-nitroguaiacolate  sodium o-nitrophenolate and sodium p-nitrophenolatein in or on certain products in Annex 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</si>
  <si>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HS Code(s): Cereals (1001  1002  1003  1004  1005  1006  1007  1008)   foodstuffs of animal origin (0201  0202  0203  0204  0205  0206  0207  0208  0209  0210) and certain products of plant origin  including fruit and vegetables</t>
  </si>
  <si>
    <t xml:space="preserve"> HS codes: 0202  0206  0204  0208  0203  0201  0207  1007  1004  1001  1005  1008  1003  0205  1002  0210  1006  0209 </t>
  </si>
  <si>
    <t>G/SPS/N/KOR/530</t>
  </si>
  <si>
    <t>Proposed amendments of Eligible Countries/Regions for Livestock Products import and Import Sanitation Requirements</t>
  </si>
  <si>
    <t>The proposed amendments seek to:  - Prescribe general sanitary requirements to comply with Korean standards of processing  law materials  hazard control  labelling for export livestock products to the Republic of Korea  - Specify mandatory information stated in sanitary or health certificates for  livestock products  - Prescribe responsibilities of exporting country including reporting safety accidents of  livestock products and supervising foreign establishments  and - Provide the list of eligible livestock products to export to the Republic of Korea.</t>
  </si>
  <si>
    <t xml:space="preserve"> HS codes: 04  02 </t>
  </si>
  <si>
    <t>Contaminants  Food safety  Human health  Labelling</t>
  </si>
  <si>
    <t>G/SPS/N/JPN/451</t>
  </si>
  <si>
    <t>Amendment of the Standards and Specifications for Foods and Food Additives</t>
  </si>
  <si>
    <t>This Amendment revises the existing standards for the use of the food additive zinc sulfate.</t>
  </si>
  <si>
    <t>Food additive (Zinc sulfate)</t>
  </si>
  <si>
    <t>G/SPS/N/BRA/1113</t>
  </si>
  <si>
    <t>Draft resolution regarding the active ingredient C32 CLETHODIM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</si>
  <si>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pineapple (0.3mg/kg safety security period of 50 days)  cotton (0.5mg/kg safety security period of 50 days)  garlic (0.5mg/kg safety security period of 40 days)  potato (0.5mg/kg safety security period of 40 days)  sweet potato (0.5mg/kg safety security period of 180 days)  yacon potato (0.5mg/kg safety security period of 180 days)  eggplant (0.5mg/kg safety security period of 20 days)  beet (0.5mg/kg safety security period of 180 days)  coffee (0.5mg/kg safety security period of 20 days)  water yam (0.5mg/kg safety security period of 180 days)  onion (0.5mg/kg safety security period of 40 days)  carrot (0.5mg/kg safety security period of 40 days)  bean (0.5mg/kg safety security period of 40 days)  tobacco (non-food use)  ginger (0.5mg/kg safety security period of 180 days)  sunflower (0.05mg/kg safety security period of 53 days)  yam (0.5mg/kg safety security period of 180 days)  scarlet eggplant (0.5mg/kg safety security period of 20 days)  apple (0.05mg/kg safety security period of 23 days)  cassava (0.5mg/kg safety security period of 180 days)  arracacha (0.5mg/kg safety security period of 180 days)  watermelon (0.5mg/kg safety security period of 20 days)  turnip (0.5mg/kg safety security period of 180 days)  pepper (0.5mg/kg safety security period of 20 days)  green pepper (0.5mg/kg safety security period of 20 days)  okra (0.5mg/kg safety security period of 20 days)  radish (0.5mg/kg safety security period of 180 days)  soy (1.0mg/kg safety security period of 60 days)  tomato (0.5mg/kg safety security period of 20 days)  grape (0.05mg/kg safety security period of 23 days). Maturation application in cultures of sugarcane (0.5mg/kg safety security period of 30 days). Pre-emergency application in cultures of corn (0.5mg/kg safety security period not determined due to the mode of use)  wheat (0.5mg/kg safety security period not determined due to the mode of use).</t>
  </si>
  <si>
    <t>G/SPS/N/BRA/1110</t>
  </si>
  <si>
    <t>Draft resolution regarding the active ingredient L05 LUFENURON of the monograph list of active ingredients for pesticides  household cleaning products and wood preservers  published by Resolution - RE n° 165 of 29 August 2003  Brazilian Official Gazette (DOU Diário Oficial da União) of 2 September 2003</t>
  </si>
  <si>
    <t>Foliar application on cotton leaves (0.05mg/kg safety security period of 28 days)  in cultures of potato (0.02mg/kg safety security period of 14 days)  coffee (0.05mg/kg safety security period of 7 days)  sugarcane (0.02mg/kg safety security period of 14 days)  canola (0.02mg/kg safety security period of 14 days)  citrus (0.5mg/kg safety security period of 28 days)  coconut (0.02mg/kg safety security period of 14 days)  eucalyptus (non-food use)  sunflower (0.02mg/kg safety security period of 14 days)  apple (0.1mg/kg safety security period of 14 days)  cassava (0.01mg/kg safety security period of 7 days)  corn (0.05mg/kg safety security period of 35 days)  cucumber (0.02mg/kg safety security period of 7 days)  peach (0.03mg/kg safety security period of 10 days)  cabbage (0.02mg/kg safety security period of 7 days)  soy (0.05mg/kg safety security period of 35 days)  tomato (0.5mg/kg safety security period of 10 days)  wheat (0.05mg/kg safety security period of 14 days).</t>
  </si>
  <si>
    <t>Foliar application on cotton leaves (0.05mg/kg safety security period of 28 days)  in cultures of potato (0.02mg/kg safety security period of 14 days)  coffee (0.05mg/kg safety security period of 7 days)  sugarcane (0.02mg/kg safety security period of 14 days)  canola (0.02mg/kg safety security period of 14 days)  citrus (0.5mg/kg safety security period of 28 days)  coconut (0.02mg/kg safety security period of 14 days)  eucalyptus (non-food use)  sunflower (0.02mg/kg safety security period of 14 days)  apple (0.1mg/kg safety security period of 14 days)  cassava (0.01mg/kg safety security period of 7 days)  corn (0.05mg/kg safety security period of 35 days)  cucumber (0.02mg/kg safety security period of 7 days)  peach (0.03mg/kg safety security period of 10 days)  cabbage (0.02mg/kg safety security period of 7 days)  soy (0.05mg/kg safety security period of 35 days)  tomato (0.5mg/kg safety security period of 10 days)  wheat (0.05mg/kg safety security period of 14 days)</t>
  </si>
  <si>
    <t>G/SPS/N/BRA/1112</t>
  </si>
  <si>
    <t>Draft resolution regarding the active ingredient F28 FENPROPATHRIN of the monograph list of active ingredients for pesticides  household cleaning products and wood preservers  published by Resolution - RE n° 165 of 29 August 2003  Brazilian Official Gazette (DOU Diário Oficial da União) of 2 September 2003</t>
  </si>
  <si>
    <t>Foliar application on cotton leaves (0.05mg/kg safety security period of 14 days)  in cultures of coffee (0.5mg/kg safety security period of 14 days)  onion (0.01mg/kg safety security period of 7 days)  citrus (1.0mg/kg safety security period of 28 days)  chrysanthemum (non-food use)  bean (0.01mg/kg safety security period of 14 days)  gladiolus (non-food use)  apple (1.0mg/kg safety security period of 28 days)  papaya (2.0mg/kg safety security period of 3 days)  watermelon (1.0mg/kg safety security period of 28 days)  melon (0.1mg/kg safety security period of 28 days)  corn (0.4mg/kg safety security period of 7 days)  strawberry (2.0mg/kg safety security period of 3 days)  cabbage (1.0mg/kg safety security period of 3 days)  rose (non-food use)  soy (0.05mg/kg safety security period of 30 days)  tomato (0.2mg/kg safety security period of 3 days).</t>
  </si>
  <si>
    <t>Foliar application on cotton leaves (0.05mg/kg safety security period of 14 days)  in cultures of coffee (0.5mg/kg safety security period of 14 days)  onion (0.01mg/kg safety security period of 7 days)  citrus (1.0mg/kg safety security period of 28 days)  chrysanthemum (non-food use)  bean (0.01mg/kg safety security period of 14 days)  gladiolus (non-food use)  apple (1.0mg/kg safety security period of 28 days)  papaya (2.0mg/kg safety security period of 3 days)  watermelon (1.0mg/kg safety security period of 28 days)  melon (0.1mg/kg safety security period of 28 days)  corn (0.4mg/kg safety security period of 7 days)  strawberry (2.0mg/kg safety security period of 3 days)  cabbage (1.0mg/kg safety security period of 3 days)  rose (non-food use)  soy (0.05mg/kg safety security period of 30 days)  tomato (0.2mg/kg safety security period of 3 days)</t>
  </si>
  <si>
    <t>G/SPS/N/BRA/1108</t>
  </si>
  <si>
    <t>Draft resolution regarding the active ingredient P46 PYRACLOSTROBIN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</si>
  <si>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pineapple (0.2mg/kg safety security period of 3 days)  pumpkin (0.05mg/kg safety security period of 7 days)  zucchini (0.05mg/kg safety security period of 7 days)  acai berries (0.2mg/kg safety security period of 7 days)  lettuce (1.0mg/kg safety security period of 3 days)  on cotton leaves (0.2mg/kg safety security period of 7 days)  garlic (0.5mg/kg safety security period of 7 days)  peanut (0.1mg/kg safety security period of 14 days)  oat (1.0mg/kg safety security period of 30 days)  banana (0.5mg/kg safety security period of 3 days)  potato (0.01mg/kg safety security period of 3 days)  eggplant (1.0mg/kg safety security period of 3 days)  beet (0.1mg/kg safety security period of 3 days)  cocoa (0.02mg/kg safety security period of 14 days)  coffee (0.5mg/kg safety security period of 45 days)  sugarcane (0.2mg/kg safety security period of 30 days)  canola (0.2mg/kg safety security period of 30 days)  onion (0.5mg/kg safety security period of 7 days)  carrot (0.2mg/kg safety security period of 7 days)  rye (1.0mg/kg safety security period of 30 days)  barley (1.5mg/kg safety security period of 30 days)  shallot (0.5mg/kg safety security period of 7 days)  chayote (0.05mg/kg safety security period of 7 days)  citrus (0.5mg/kg safety security period of 14 days)  coconut (0.2mg/kg safety security period of 7 days)  cupuacu fruit (0.5mg/kg safety security period of 7 days)  chrysanthemum (non-food use)  dendê (0.2mg/kg safety security period of 7 days)  eucalyptus (non-food use)  bean (0.1mg/kg safety security period of 14 days)  sesame (0.2mg/kg safety security period of 30 days)  sunflower (0.2mg/kg safety security period of 30 days)  guarana (0.5mg/kg safety security period of 7 days)  scarlet eggplant (1.0mg/kg safety security period of 3 days)  linseed (0.2mg/kg safety security period of 30 days)  macadamia (0.2mg/kg safety security period of 7 days)  cassava (0.02mg/kg safety security period of 30 days)  apple (2.0mg/kg safety security period of 14 days)  papaya (0.5mg/kg safety security period of 7 days)  mango (0.5mg/kg safety security period of 7 days)  passion fruit (0.5mg/kg safety security period of 7 days)  West Indian gherkin (0.05mg/kg safety security period of 7 days)  watermelon (0.2mg/kg safety security period of 7 days)  melon (0.2mg/kg safety security period of 7 days)  corn (0.1mg/kg safety security period of 45 days)  millet (0.1mg/kg safety security period of 45 days)  cucumber (0.05mg/kg safety security period of 7 days)  peach (1.0mg/kg safety security period of 7 days)  pepper (1.0mg/kg safety security period of 3 days)  green pepper (1.0mg/kg safety security period of 3 days)  pine nut (0.2mg/kg safety security period of 7 days)  pupunha palm (0.2mg/kg safety security period of 7 days)  okra (1.0mg/kg safety security period of 3 days)  rose (non-food use)  soy (0.1mg/kg safety security period of 14 days)  sorghum (4.0mg/kg safety security period of 30 days)  tomato (0.2mg/kg safety security period of 1 day)  wheat (1.0mg/kg safety security period of 30 days)  triticale (1.0mg/kg safety security period of 30 days)  grape (2.0mg/kg safety security period of 7 days). Seeds application on cotton seeds (0.2mg/kg safety security period not determined due to the mode of use)  peanut (0.1mg/kg safety security period not determined due to the mode of use)  rice (0.02mg/kg safety security period not determined due to the mode of use)  barley (1.5mg/kg safety security period not determined due to the mode of use)  bean (0.1mg/kg safety security period not determined due to the mode of use)  corn (0.1mg/kg safety security period not determined due to the mode of use)  pasture (0.02mg/kg safety security period not determined due to the mode of use)  soy (0.1mg/kg safety security period not determined due to the mode of use)  sorghum (4.0mg/kg safety security period not determined due to the mode of use)  wheat (1.0mg/kg safety security period not determined due to the mode of use). Plantation furrow application in cultures of potato (0.01mg/kg safety security period not determined due to the mode of use). Sett (plantation) application in cultures of sugarcane (0.2mg/kg safety security period not determined due to the mode of use).</t>
  </si>
  <si>
    <t>G/SPS/N/BRA/1109</t>
  </si>
  <si>
    <t>Draft resolution regarding the active ingredient F68 FLUXAPYROXAD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</si>
  <si>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(0.10mg/kg safety security period of 7 days)  zucchini (0.10mg/kg safety security period of 7 days)  acai berry (0.10mg/kg safety security period of 7 days)  on cotton leaves (0.5mg/kg safety security period of 14 days)  garlic (0.03mg/kg safety security period of 7 days)  peanut (0.01mg/kg safety security period of 14 days)  oat (0.5mg/kg safety security period of 30 days)  potato (0.01mg/kg safety security period of 3 days)  eggplant (0.10mg/kg safety security period of 3 days)  sugarcane (0.03mg/kg safety security period of 30 days)  canola (0.20mg/kg safety security period of 30 days)  onion (0.03mg/kg safety security period of 7 days)  carrot (0.02mg/kg safety security period of 7 days)  rye (0.50mg/kg safety security period of 30 days)  barley (0.5mg/kg safety security period of 30 days)  shallot (0.03mg/kg safety security period of 7 days)  chayote (0.10mg/kg safety security period of 7 days)  citrus (0.20mg/kg safety security period of 14 days)  coconut (0.10mg/kg safety security period of 7 days)  chrysanthemum (non-food use)  cupuacu fruit (0.5mg/kg safety security period of 7 days)  dendê (0.10mg/kg safety security period of 7 days)  bean (0.03mg/kg safety security period of 14 days)  sesame (0.20mg/kg safety security period of 30 days)  sunflower (0.20mg/kg safety security period of 30 days)  guarana (0.5mg/kg safety security period of 7 days)  scarlet eggplant (0.10mg/kg safety security period of 3 days)  linseed (0.2mg/kg safety security period of 30 days)  macadamia nut (0.10mg/kg safety security period of 7 days)  apple (0.5mg/kg safety security period of 14 days)  papaya (0.5mg/kg safety security period of 7 days)  mango (0.5mg/kg safety security period of 7 days)  passion fruit (0.5mg/kg safety security period of 7 days)  west Indian gherkin (0.10mg/kg safety security period of 7 days)  watermelon (0.10mg/kg safety security period of 7 days)  melon (0.10mg/kg safety security period of 7 days)  corn (0.05mg/kg safety security period of 45 days)  millet (0.05mg/kg safety security period of 45 days)  cucumber (0.10mg/kg safety security period of 7 days)  pepper (0.10mg/kg safety security period of 3 days)  green pepper (0.10mg/kg safety security period of 3 days)  pine nut (0.10mg/kg safety security period of 7 days)  pupunha palm (0.10mg/kg safety security period of 7 days)  okra (0.10mg/kg safety security period of 3 days)  rose (non-food use)  soy (0.05mg/kg safety security period of 14 days)  sorghum (3.0mg/kg safety security period of 30 days)  tomato (0.20mg/kg safety security period of 7 days)  wheat (0.5mg/kg safety security period of 30 days)  triticale (0.5mg/kg safety security period of 30 days).</t>
  </si>
  <si>
    <t xml:space="preserve">Foliar application in cultures of pumpkin (0.10mg/kg safety security period of 7 days)  zucchini (0.10mg/kg safety security period of 7 days)  acai berry (0.10mg/kg safety security period of 7 days)  on cotton leaves (0.5mg/kg safety security period of 14 days)  garlic (0.03mg/kg safety security period of 7 days)  peanut (0.01mg/kg safety security period of 14 days)  oat (0.5mg/kg safety security period of 30 days)  potato (0.01mg/kg safety security period of 3 days)  eggplant (0.10mg/kg safety security period of 3 days)  sugarcane (0.03mg/kg safety security period of 30 days)  canola (0.20mg/kg safety security period of 30 days)  onion (0.03mg/kg safety security period of 7 days)  carrot (0.02mg/kg safety security period of 7 days)  rye (0.50mg/kg safety security period of 30 days)  barley (0.5mg/kg safety security period of 30 days)  shallot (0.03mg/kg safety security period of 7 days)  chayote (0.10mg/kg safety security period of 7 days)  citrus (0.20mg/kg safety security period of 14 days)  coconut (0.10mg/kg safety security period of 7 days)  chrysanthemum (non-food use)  cupuacu fruit (0.5mg/kg safety security period of 7 days)  dendê (0.10mg/kg safety security period of 7 days)  bean (0.03mg/kg safety security period of 14 days)  sesame (0.20mg/kg safety security period of 30 days)  sunflower (0.20mg/kg safety security period of 30 days)  guarana (0.5mg/kg safety security period of 7 days)  scarlet eggplant (0.10mg/kg safety security period of 3 days)  linseed (0.2mg/kg safety security period of 30 days)  macadamia nut (0.10mg/kg safety security period of 7 days)  apple (0.5mg/kg safety security period of 14 days)  papaya (0.5mg/kg safety security period of 7 days)  mango (0.5mg/kg safety security period of 7 days)  passion fruit (0.5mg/kg safety security period of 7 days)  west Indian gherkin (0.10mg/kg safety security period of 7 days)  watermelon (0.10mg/kg safety security period of 7 days)  melon (0.10mg/kg safety security period of 7 days)  corn (0.05mg/kg safety security period of 45 days)  millet (0.05mg/kg safety security period of 45 days)  cucumber (0.10mg/kg safety security period of 7 days)  pepper (0.10mg/kg safety security period of 3 days)  green pepper (0.10mg/kg safety security period of 3 days)  pine nut (0.10mg/kg safety security period of 7 days)  pupunha palm (0.10mg/kg safety security period of 7 days)  okra (0.10mg/kg safety security period of 3 days)  rose (non-food use)  soy (0.05mg/kg safety security period of 14 days)  sorghum (3.0mg/kg safety security period of 30 days)  tomato (0.20mg/kg safety security period of 7 days)  wheat (0.5mg/kg safety security period of 30 days)  triticale (0.5mg/kg safety security period of 30 days).    </t>
  </si>
  <si>
    <t>G/SPS/N/USA/933/Add.5</t>
  </si>
  <si>
    <t>Food for human consumption and cosmetics for use in the United States  except for meat  poultry and egg products that are exclusively regulated by the US Department of Agriculture</t>
  </si>
  <si>
    <t xml:space="preserve"> HS codes: 0206  0201  3304 </t>
  </si>
  <si>
    <t>G/SPS/N/AUS/382</t>
  </si>
  <si>
    <t>Proposal to Amend Schedule 20 of the revised Australia New Zealand Food Standards Code (8 March 2016 - Proposed amendment (Agricultural and Veterinary Chemicals Code Instrument No. 4 (MRL Standard) Amendment Instrument 2016 (No. 3)))</t>
  </si>
  <si>
    <t>G/SPS/N/EU/158</t>
  </si>
  <si>
    <t>Annexes to "Draft Commission Regulation amending Annexes II  III and V to Regulation (EC) No 396/2005 of the European Parliament and of the Council as regards maximum residue levels for 3-decen-2-one  acibenzolar-S-methyl and hexachlorobenzene in or on certain products (Text with EEA relevance)"</t>
  </si>
  <si>
    <t>These notified annexes to the draft Regulation set proposed maximum residue levels for 3-decen-2-one  acibenzolar-S-methyl and hexachlorobenzene in Annex II  III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</si>
  <si>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0205  1002  0210  0204  0207  0202  1007  0206  1003  0201  0203  1001  1004  1005  1008  0208  0209  1006 </t>
  </si>
  <si>
    <t>G/SPS/N/EU/159</t>
  </si>
  <si>
    <t xml:space="preserve">Commission Regulation on the use of bisphenol A in varnishes and coatings intended to come into contact with food and amending Regulation (EU) No 10/2011 as regards the use of that substance in plastic food contact materials (Text with EEA relevance) </t>
  </si>
  <si>
    <t>The draft regulation lowers the specific migration limit (SML) for BPA from plastic food contact materials in line with the EFSA opinion published in January 2015. It therefore amends Commission Regulation (EU) No 10/2011 on plastic materials and articles intended to come into contact with food. In addition  it applies the same SML to BPA from a varnish or coating applied to materials and articles. The notified draft also sets out the criteria for verification of compliance concerning varnishes and coatings  as well as laying down the requirements for the written declaration of compliance (DoC) for varnished or coated materials and articles.</t>
  </si>
  <si>
    <t>Materials and articles in contact with food (HS Codes: 3919  3920  3923 and 3924  ICS Code: 67.250)</t>
  </si>
  <si>
    <t>G/SPS/N/BRA/1105</t>
  </si>
  <si>
    <t>Draft resolution regarding the active ingredient B26 BIFENTHRIN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</si>
  <si>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lettuce (0.05mg/kg safety security period of 14 days)  on cotton leaves (0.05mg/kg safety security period of 15 days)  garlic (0.05mg/kg safety security period of 30 days)  rice (0.7mg/kg safety security period of 30 days)  potato (0.03mg/kg safety security period of 7 days)  canola (0.02mg/kg safety security period of 14 days)  onion (0.05mg/kg safety security period of 21 days)  citrus (0.07mg/kg safety security period of 7 days)  kale (0.02mg/kg safety security period of 5 days)  chrysanthemum (non-food use)  bean (0.5mg/kg safety security period of 20 days)  tobacco (non-food use)  mango (0.1mg/kg safety security period of 7 days)  papaya (0.3mg/kg safety security period of 7 days)  melon (0.05mg/kg safety security period of 7 days)  corn (0.02mg/kg safety security period of 20 days)  Indian fig (0.1mg/kg safety security period of 16 days)  cucumber (0.02mg/kg safety security period of 4 days)  rose (non-food use)  tomato (0.02mg/kg safety security period of 6 days)  wheat (0.7mg/kg safety security period of 14 days)  grape (0.1mg/kg safety security period of 7 days). Seeds application on cotton seeds (0.05mg/kg safety security period not determined due to the mode of use)  rice (0.7mg/kg safety security period not determined due to the mode of use)  bean (0.5mg/kg safety security period not determined due to the mode of use)  corn (0.02mg/kg safety security period not determined due to the mode of use)  soy (0.02mg/kg safety security period not determined due to the mode of use)  wheat (0.7mg/kg safety security period not determined due to the mode of use). Stored products in cultures of rice (0.7mg/kg safety security period of 30 days)  barley (1.0mg/kg safety security period of 30 days)  bean (0.5mg/kg safety security period of 30 days)  corn (0.02mg/kg safety security period of 30 days)  wheat (0.7mg/kg safety security period of 30 days). Located application in cultures of banana (0.02mg/kg safety security period not determined due to the mode of use). Soil application in cultures of potato (0.03mg/kg safety security period of 35 days)  sugarcane (0.02mg/kg safety security period not determined due to the mode of use)  corn (0.02mg/kg safety security period not determined due to the mode of use).</t>
  </si>
  <si>
    <t>Foliar application in cultures of lettuce (0.05mg/kg safety security period of 14 days)  on cotton leaves (0.05mg/kg safety security period of 15 days)  garlic (0.05mg/kg safety security period of 30 days)  rice (0.7mg/kg safety security period of 30 days)  potato (0.03mg/kg safety security period of 7 days)  canola (0.02mg/kg safety security period of 14 days)  onion (0.05mg/kg safety security period of 21 days)  citrus (0.07mg/kg safety security period of 7 days)  kale (0.02mg/kg safety security period of 5 days)  chrysanthemum (non-food use)  bean (0.5mg/kg safety security period of 20 days)  tobacco (non-food use)  mango (0.1mg/kg safety security period of 7 days)  papaya (0.3mg/kg safety security period of 7 days)  melon (0.05mg/kg safety security period of 7 days)  corn (0.02mg/kg safety security period of 20 days)  Indian fig (0.1mg/kg safety security period of 16 days)  cucumber (0.02mg/kg safety security period of 4 days)  rose (non-food use)  tomato (0.02mg/kg safety security period of 6 days)  wheat (0.7mg/kg safety security period of 14 days)  grape (0.1mg/kg safety security period of 7 days). Seeds application on cotton seeds (0.05mg/kg safety security period not determined due to the mode of use)  rice (0.7mg/kg safety security period not determined due to the mode of use)  bean (0.5mg/kg safety security period not determined due to the mode of use)  corn (0.02mg/kg safety security period not determined due to the mode of use)  soy (0.02mg/kg safety security period not determined due to the mode of use)  wheat (0.7mg/kg safety security period not determined due to the mode of use). Stored products in cultures of rice (0.7mg/kg safety security period of 30 days)  barley (1.0mg/kg safety security period of 30 days)  bean (0.5mg/kg safety security period of 30 days)  corn (0.02mg/kg safety security period of 30 days)  wheat (0.7mg/kg safety security period of 30 days). Located application in cultures of banana (0.02mg/kg safety security period not determined due to the mode of use). Soil application in cultures of potato (0.03mg/kg safety security period of 35 days)  sugarcane (0.02mg/kg safety security period not determined due to the mode of use)  corn (0.02mg/kg safety security period not determined due to the mode of use)</t>
  </si>
  <si>
    <t>G/SPS/N/BRA/1106</t>
  </si>
  <si>
    <t>Draft resolution regarding the active ingredient F40 FORMETANATE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</si>
  <si>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(0.1mg/kg safety security period of 7 days)  zucchini (0.1mg/kg safety security period of 7 days)  potato (0.05mg/kg safety security period of 21 days)  eggplant (1.0mg/kg safety security period of 3 days)  onion (0.2mg/kg safety security period of 7 days)  citrus (0.05mg/kg safety security period of 21 days)  chrysanthemum (non-food use)  bean (0.5mg/kg safety security period of 21 days)  mango (0.02mg/kg safety security period of 80 days)  watermelon (0.5mg/kg safety security period of 7 days)  cucumber (0.1mg/kg safety security period of 7 days)  pepper (2.0mg/kg safety security period of 3 days)  tomato (0.1mg/kg safety security period of 7 days)  grape (1.0mg/kg safety security period of 56 days).</t>
  </si>
  <si>
    <t>Foliar application in cultures of pumpkin (0.1mg/kg safety security period of 7 days)  zucchini (0.1mg/kg safety security period of 7 days)  potato (0.05mg/kg safety security period of 21 days)  eggplant (1.0mg/kg safety security period of 3 days)  onion (0.2mg/kg safety security period of 7 days)  citrus (0.05mg/kg safety security period of 21 days)  chrysanthemum (non-food use)  bean (0.5mg/kg safety security period of 21 days)  mango (0.02mg/kg safety security period of 80 days)  watermelon (0.5mg/kg safety security period of 7 days)  cucumber (0.1mg/kg safety security period of 7 days)  pepper (2.0mg/kg safety security period of 3 days)  tomato (0.1mg/kg safety security period of 7 days)  grape (1.0mg/kg safety security period of 56 days)</t>
  </si>
  <si>
    <t>G/SPS/N/BRA/1104</t>
  </si>
  <si>
    <t>Draft resolution regarding the active ingredient T33 TEFLUBENZURON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</si>
  <si>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pineapple (0.7mg/kg safety security period of 7 days)  pumpkin (0.01mg/kg safety security period of 7 days)  zucchini (0.01mg/kg safety security period of 7 days)  chard (0.3mg/kg safety security period of 7 days)  acerola (1.0mg/kg safety security period of 7 days)  watercress (0.3mg/kg safety security period of 7 days)  lettuce (0.3mg/kg safety security period of 7 days)  on cotton leaves (0.1mg/kg safety security period of 30 days)  garlic (0.03mg/kg safety security period of 7 days)  plum (0.2mg/kg safety security period of 15 days)  peanut (0.01mg/kg safety security period of 7 days)  blackberry (1.0mg/kg safety security period of 7 days)  annonaceae (0.2mg/kg safety security period of 7 days)  rice (0.1mg/kg safety security period of 30 days)  oat (0.3mg/kg safety security period of 14 days)  potato (0.1mg/kg safety security period of 7 days)  eggplant (0.03mg/kg safety security period of 14 days)  beet (0.05mg/kg safety security period of 14 days)  broccoli (0.01mg/kg safety security period of 7 days)  coffee (0.5mg/kg safety security period of 30 days)  sugarcane (0.01mg/kg safety security period of 40 days)  canola (2.0mg/kg safety security period of 7 days)  onion (0.03mg/kg safety security period of 7 days)  rye (0.3mg/kg safety security period of 14 days)  barley (0.3mg/kg safety security period of 14 days)  chicory (0.3mg/kg safety security period of 7 days)  chayote (0.01mg/kg safety security period of 7 days)  citrus (0.2mg/kg safety security period of 15 days)  kale (0.01mg/kg safety security period of 7 days)  Chinese cabbage (0.01mg/kg safety security period of 7 days)  Brussels sprouts (0.01mg/kg safety security period of 7 days)  cauliflower (0.01mg/kg safety security period of 7 days)  cupuacu (0.2mg/kg safety security period of 7 days)  eucalyptus (non-food use)  spinach (0.3mg/kg safety security period of 7 days)  bean (0.5mg/kg safety security period of 15 days)  tobbaco (non-food use)  sesame (2.0mg/kg safety security period of 7 days)  sunflower (2.0mg/kg safety security period of 7 days)  scarlet eggplant (0.03mg/kg safety security period of 14 days)  apple (0.2mg/kg safety security period of 1 day)  papaya (0.2mg/kg safety security period of 7 days)  castor bean (non-food use)  arracacia (0.05mg/kg safety security period of 14 days)  mango (0.7mg/kg safety security period of 7 days)  passion fruit (0.2mg/kg safety security period of 7 days)  quince (0.2mg/kg safety security period of 15 days)  melon (0.1mg/kg safety security period of 7 days)  millet (0.1mg/kg safety security period of 45 days)  corn (0.1mg/kg safety security period of 45 days)  strawberry (1.0mg/kg safety security period of 7 days)  mustard (0.3mg/kg safety security period of 7 days)  turnip (0.05mg/kg safety security period of 14 days)  medlar (0.2mg/kg safety security period of 15 days)  cucumber (0.01mg/kg safety security period of 7 days)  pear (0.2mg/kg safety security period of 15 days)  peach (0.2mg/kg safety security period of 15 days)  pepper (0.03mg/kg safety security period of 14 days)  green pepper (0.03mg/kg safety security period of 14 days)  Surinam cherry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(0.3mg/kg safety security period of 14 days)  triticale (0.3mg/kg safety security period of 14 days)  grape (1.0mg/kg safety security period of 7 days).</t>
  </si>
  <si>
    <t>Foliar application in cultures of pineapple (0.7mg/kg safety security period of 7 days)  pumpkin (0.01mg/kg safety security period of 7 days)  zucchini (0.01mg/kg safety security period of 7 days)  chard (0.3mg/kg safety security period of 7 days)  acerola (1.0mg/kg safety security period of 7 days)  watercress (0.3mg/kg safety security period of 7 days)  lettuce (0.3mg/kg safety security period of 7 days)  on cotton leaves (0.1mg/kg safety security period of 30 days)  garlic (0.03mg/kg safety security period of 7 days)  plum (0.2mg/kg safety security period of 15 days)  peanut (0.01mg/kg safety security period of 7 days)  blackberry (1.0mg/kg safety security period of 7 days)  annonaceae (0.2mg/kg safety security period of 7 days)  rice (0.1mg/kg safety security period of 30 days)  oat (0.3mg/kg safety security period of 14 days)  potato (0.1mg/kg safety security period of 7 days)  eggplant (0.03mg/kg safety security period of 14 days)  beet (0.05mg/kg safety security period of 14 days)  broccoli (0.01mg/kg safety security period of 7 days)  coffee (0.5mg/kg safety security period of 30 days)  sugarcane (0.01mg/kg safety security period of 40 days)  canola (2.0mg/kg safety security period of 7 days)  onion (0.03mg/kg safety security period of 7 days)  rye (0.3mg/kg safety security period of 14 days)  barley (0.3mg/kg safety security period of 14 days)  chicory (0.3mg/kg safety security period of 7 days)  chayote (0.01mg/kg safety security period of 7 days)  citrus (0.2mg/kg safety security period of 15 days)  kale (0.01mg/kg safety security period of 7 days)  Chinese cabbage (0.01mg/kg safety security period of 7 days)  Brussels sprouts (0.01mg/kg safety security period of 7 days)  cauliflower (0.01mg/kg safety security period of 7 days)  cupuacu (0.2mg/kg safety security period of 7 days)  eucalyptus (non-food use)  spinach (0.3mg/kg safety security period of 7 days)  bean (0.5mg/kg safety security period of 15 days)  tobbaco (non-food use)  sesame (2.0mg/kg safety security period of 7 days)  sunflower (2.0mg/kg safety security period of 7 days)  scarlet eggplant (0.03mg/kg safety security period of 14 days)  apple (0.2mg/kg safety security period of 1 day)  papaya (0.2mg/kg safety security period of 7 days)  castor bean (non-food use)  arracacia (0.05mg/kg safety security period of 14 days)  mango (0.7mg/kg safety security period of 7 days)  passion fruit (0.2mg/kg safety security period of 7 days)  quince (0.2mg/kg safety security period of 15 days)  melon (0.1mg/kg safety security period of 7 days)  millet (0.1mg/kg safety security period of 45 days)  corn (0.1mg/kg safety security period of 45 days)  strawberry (1.0mg/kg safety security period of 7 days)  mustard (0.3mg/kg safety security period of 7 days)  turnip (0.05mg/kg safety security period of 14 days)  medlar (0.2mg/kg safety security period of 15 days)  cucumber (0.01mg/kg safety security period of 7 days)  pear (0.2mg/kg safety security period of 15 days)  peach (0.2mg/kg safety security period of 15 days)  pepper (0.03mg/kg safety security period of 14 days)  green pepper (0.03mg/kg safety security period of 14 days)  Surinam cherry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(0.3mg/kg safety security period of 14 days)  triticale (0.3mg/kg safety security period of 14 days)  grape (1.0mg/kg safety security period of 7 days)</t>
  </si>
  <si>
    <t>G/SPS/N/BRA/1107</t>
  </si>
  <si>
    <t>Draft resolution regarding the active ingredient F36 FLUTRIAFOL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</si>
  <si>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(0.5mg/kg safety security period of 7 days)  pineapple (0.5mg/kg safety security period of 7 days)  pumpkin (0.1mg/kg safety security period of 7 days)  zucchini (0.1mg/kg safety security period of 7 days)  on cotton leaves (0.1mg/kg safety security period of 21 days)  garlic (0.1mg/kg safety security period of 14 days)  annonnaceae (0.5mg/kg safety security period of 7 days)  oat (0.3mg/kg safety security period of 14 days)  banana (0.1mg/kg safety security period of 3 days)  potato (0.1mg/kg safety security period of 14 days)  sweet potato (0.1mg/kg safety security period of 14 days)  yacon potato (0.1mg/kg safety security period of 14 days)  beet (0.1mg/kg safety security period of 14 days)  eggplant (0.1mg/kg safety security period of 7 days)  cocoa (0.5mg/kg safety security period of 7 days)  coffee (0.05mg/kg safety security period of 30 days)  sugarcane (0.3mg/kg safety security period of 30 days)  canola (0.1mg/kg safety security period of 14 days)  cará yam (0.1mg/kg safety security period of 14 days)  onion (0.1mg/kg safety security period of 14 days)  shallot (0.1mg/kg safety security period of 14 days)  chayote (0.1mg/kg safety security period of 7 days)  cupuacu (0.5mg/kg safety security period of 7 days)  pea (0.1mg/kg safety security period of 14 days)  eucalyptus (non-food use)  bean (0.1mg/kg safety security period of 14 days)  caupi bean (0.1mg/kg safety security period of 14 days)  ginger (0.1mg/kg safety security period of 14 days)  sesame (0.1mg/kg safety security period of 14 days)  sunflower (0.1mg/kg safety security period of 14 days)  chickpea (0.1mg/kg safety security period of 14 days)  guarana (0.5mg/kg safety security period of 7 days)  yam (0.1mg/kg safety security period of 14 days)  scarlet eggplant (0.1mg/kg safety security period of 7 days)  kiwi fruit (0.5mg/kg safety security period of 7 days)  lentil (0.1mg/kg safety security period of 14 days)  linseed (0.1mg/kg safety security period of 14 days)  apple (0.06mg/kg safety security period of 14 days)  papaya (0.5mg/kg safety security period of 7 days)  cassava (0.1mg/kg safety security period of 14 days)  arracacia (0.1mg/kg safety security period of 14 days)  mango (0.5mg/kg safety security period of 7 days)  passion fruit (0.5mg/kg safety security period of 7 days)  Indian gherkin (0.1mg/kg safety security period of 7 days)  watermelon (0.5mg/kg safety security period of 10 days)  melon (0.5mg/kg safety security period of 10 days)  corn (0.05mg/kg safety security period of 42 days)  turnip (0.1mg/kg safety security period of 14 days)  cucumber (0.1mg/kg safety security period of 7 days)  pepper (0.1mg/kg safety security period of 7 days)  green pepper (0.1mg/kg safety security period of 7 days)  okra (0.1mg/kg safety security period of 7 days)  radish (0.1mg/kg safety security period of 14 days)  pomegranate (0.5mg/kg safety security period of 7 days)  soy (0.1mg/kg safety security period of 28 days)  tomato (0.1mg/kg safety security period of 7 days)  wheat (0.1mg/kg safety security period of 20 days). Seeds application on cotton seeds (0.1mg/kg safety security period not determined due to the mode of use)  oat (0.3mg/kg safety security period not determined due to the mode of use)  barley (0.1mg/kg safety security period not determined due to the mode of use)  bean (0.1mg/kg safety security period not determined due to the mode of use)  soy (0.1mg/kg safety security period not determined due to the mode of use)  wheat (0.1mg/kg safety security period not determined due to the mode of use). Located application in cultures of banana (0.1mg/kg safety security period of 60 days). Soil application in cultures of coffee (0.05mg/kg safety security period of 120 days)  apple (0.06mg/kg safety security period of 50 days).</t>
  </si>
  <si>
    <t>G/SPS/N/IND/130</t>
  </si>
  <si>
    <t>Draft Food Safety and Standard (Food Product Standard and Food Additives) Amendment Regulation  2016</t>
  </si>
  <si>
    <t>The draft Food Safety and Standard (Food Products Standards and Food Additives) Amendment Regulations  2016 related to Microbiological Standards of Fish and Fishery products.</t>
  </si>
  <si>
    <t xml:space="preserve"> HS codes: 03 </t>
  </si>
  <si>
    <t>G/SPS/N/USA/2810/Add.1</t>
  </si>
  <si>
    <t>G/SPS/N/TPKM/387</t>
  </si>
  <si>
    <t>Draft Enforcement Rules of the Act Governing Food Safety and Sanitation</t>
  </si>
  <si>
    <t>The amendment of the Act Governing Food Safety and Sanitation was promulgated on 10 December 2014  4 February and 16 December 2015. The Enforcement Rules of the Act Governing Food Safety and Sanitation shall be revised accordingly. The key feature of the draft is that the labelling requirements for the imported food and food additives  the food utensils  food containers or packaging and food cleansers.</t>
  </si>
  <si>
    <t>G/SPS/N/MAC/18</t>
  </si>
  <si>
    <t>Alteração ao Regulamento Administrativo n.º 6/2014 (Lista de substâncias proibidas de usar nos géneros alimentícios)/ Amendment to Administrative Regulation No. 6/2014 (List of Prohibited Substances for Use in Food)</t>
  </si>
  <si>
    <t>The Administrative Regulation No. 6/2014 "Lista de substâncias proibidas de usar nos géneros alimentícios" (List of Prohibited Substances for Use in Food) was published in 2014. To protect food safety  the government continues to strengthen food safety surveillance and renew relevant food safety standards. In accordance with local food monitoring data  it is decided to amend the abovementioned administrative regulation and to add two types of chemicals  Borax or Boric Acid and Sudan Dyes  to the "Lista de substâncias proibidas de usar nos géneros alimentícios" (List of prohibited substances for use in food). Therefore  the government has published the Administrative Regulation No. 3/2016 Alteração ao Regulamento Administrativo n.º 6/2014 (Lista de substâncias proibidas de usar nos géneros alimentícios)/ Amendment to Administrative Regulation No. 6/2014 (List of prohibited substances for use in food). The regulation is applicable to the entire food supply chain including food production  processing  preparation  packaging  transportation  import  export  transit  storage  sale  delivery  holding or displaying for sale  etc.</t>
  </si>
  <si>
    <t>G/SPS/N/BRA/1102</t>
  </si>
  <si>
    <t>Draft resolution regarding the active ingredient C63 LAMBDA-CYHALOTHRIN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</si>
  <si>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(1.0mg/kg safety security period of 10 days)  pineapple (1.0mg/kg safety security period of 10 days)  pumpkin (0.01mg/kg safety security period of 1 day)  zucchini (0.01mg/kg safety security period of 1 day)  watercress (1.0mg/kg safety security period of 1 day)  lettuce (1.0mg/kg safety security period of 1 day)  on cotton leaves (0.05mg/kg safety security period of 10 days)  garlic (0.02mg/kg safety security period of 7 days)  leek (0.02mg/kg safety security period of 7 days)  peanut (0.02mg/kg safety security period of 21 days)  rice (1.0mg/kg safety security period of 21 days)  atemoya (1.0mg/kg safety security period of 10 days)  oat (0.2mg/kg safety security period of 7 days)  potato (0.05mg/kg safety security period of 3 days)  sweet potato (0.05mg/kg safety security period of 3 days)  yacon potato (0.05mg/kg safety security period of 3 days)  eggplant (0.2mg/kg safety security period of 1 day)  beet (0.05mg/kg safety security period of 3 days)  broccoli (0.1mg/kg safety security period of 1 day)  coffee (0.05mg/kg safety security period of 1 day)  cocoa (1.0mg/kg safety security period of 10 days)  sugarcane (0.01mg/kg safety security period of 30 days)  canola (0.01mg/kg safety security period of 21 days)  water yam (0.05mg/kg safety security period of 3 days)  onion (0.05mg/kg safety security period of 3 days)  welsh onion (1.0mg/kg safety security period of 1 day)  rye (0.5mg/kg safety security period of 15 days)  barley (2.0mg/kg safety security period of 3 days)  chayote (0.01mg/kg safety security period of 1 day)  citrus (1.0mg/kg safety security period of 10 days)  coriander (1.0mg/kg safety security period of 1 day)  kale (0.1mg/kg safety security period of 1 day)  cauliflower (0.1mg/kg safety security period of 1 day)  crysanthemum (non-food use)  cupuacu (1.0mg/kg safety security period of 10 days)  pea (0.05mg/kg safety security period of 20 days)  bean (0.05mg/kg safety security period of 15 days)  cowpea bean (0.05mg/kg safety security period of 20 days)  fig (0.5mg/kg safety security period of 1 day)  tobacco (non-food use)  ginger (0.05mg/kg safety security period of 3 days)  sesame (0.01mg/kg safety security period of 21 days)  sunflower (0.01mg/kg safety security period of 21 days)  chickpea (0.05mg/kg safety security period of 20 days)  guarana (1.0mg/kg safety security period of 10 days)  yam (0.05mg/kg safety security period of 3 days)  scarlet eggplant (0.2mg/kg safety security period of 1 day)  kiwi fruit (1.0mg/kg safety security period of 10 days)  lentil (0.05mg/kg safety security period of 20 days)  linseed (0.01mg/kg safety security period of 21 days)  papaya (1.0mg/kg safety security period of 10 days)  cassava (0.05mg/kg safety security period of 3 days)  arracacha (0.05mg/kg safety security period of 3 days)  mango (0.1mg/kg safety security period of 5 days)  passion fruit (1.0mg/kg safety security period of 10 days)  West Indian gherkin (0.01mg/kg safety security period of 1 day)  watermelon (0.01mg/kg safety security period of 3 days)  melon (0.01mg/kg safety security period of 3 days)  corn (1.0mg/kg safety security period of 15 days)  strawberry (0.5mg/kg safety security period of 1 day)  turnip (0.05mg/kg safety security period of 3 days)  Indian fig (feed) (2.0mg/kg safety security period of 7 days)  pasture (2.0mg/kg safety security period of 3 days)  cucumber (0.01mg/kg safety security period of 1 day)  pepper (0.2mg/kg safety security period of 1 day)  green pepper (0.2mg/kg safety security period of 1 day)  okra (0.2mg/kg safety security period of 1 day)  radish (0.05mg/kg safety security period of 3 days)  cabbage (0.1mg/kg safety security period of 1 day)  pomegranate (1.0mg/kg safety security period of 10 days)  rose (non-food use)  soy (0.05mg/kg safety security period of 20 days)  sorghum (0.3mg/kg safety security period of 7 days)  tomato (0.05mg/kg safety security period of 3 days)  wheat (0.5mg/kg safety security period of 15 days)  triticale (0.5mg/kg safety security period of 15 days)  grape (0.3mg/kg safety security period of 7 days). Stored products application in cultures of rice (1.0mg/kg safety security period of 42 days)  barley (2.0mg/kg safety security period of 42 days)  corn (1.0mg/kg safety security period of 42 days)  wheat (0.5mg/kg safety security period of 42 days). Seeds application in cultures of rice (1.0mg/kg safety security period not determined due to the mode of use)  barley (2.0mg/kg safety security period not determined due to the mode of use)  corn (1.0mg/kg safety security period not determined due to the mode of use)  pasture (2.0mg/kg safety security period not determined due to the mode of use)  soy (0.05mg/kg safety security period not determined due to the mode of use)  sorghum (0.3mg/kg safety security period not determined due to the mode of use)  wheat (0.5mg/kg safety security period not determined due to the mode of use). Plantation furrow application in cultures of sugarcane (0.01mg/kg safety security period not determined due to the mode of use).</t>
  </si>
  <si>
    <t>G/SPS/N/BRA/1100</t>
  </si>
  <si>
    <t>Draft resolution regarding the active ingredient T32 TEBUCONAZOLE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</si>
  <si>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pineapple (0.1mg/kg safety security period of 14 days)  pumpkin (0.5mg/kg safety security period of 1 day)  zucchini (0.5mg/kg safety security period of 1 day)  chard (3.0mg/kg safety security period of 1 day)  acerola (0.7mg/kg safety security period of 1 day)  poplar (non-food use)  lettuce (3.0mg/kg safety security period of 1 day)  on cotton leaves (0.1mg/kg safety security period of 30 days)  garlic (0.1mg/kg safety security period of 14 days)  endive (3.0mg/kg safety security period of 1 day)  plum (0.7mg/kg safety security period of 1 day)  peanut (0.1mg/kg safety security period of 30 days)  rice (0.1mg/kg safety security period of 35 days)  oat (0.1mg/kg safety security period of 35 days)  banana (0.05mg/kg safety security period of 5 days)  potato (0.1mg/kg safety security period of 30 days)  eggplant (0.2mg/kg safety security period of 1 day)  beet (0.3mg/kg safety security period of 1 day)  broccoli (2.0mg/kg safety security period of 1 day)  cocoa (0.1mg/kg safety security period of 14 days)  coffee (0.2mg/kg safety security period of 30 days)  sugarcane (0.2mg/kg safety security period of 90 days)  khaki (0.2mg/kg safety security period of 20 days)  onion (0.1mg/kg safety security period of 14 days)  carrot (0.6mg/kg safety security period of 14 days)  barley (0.5mg/kg safety security period of 35 days)  chicory (3.0mg/kg safety security period of 1 day)  chayote (0.5mg/kg safety security period of 1 day)  citrus (5.0mg/kg safety security period of 20 days)  kale (2.0mg/kg safety security period of 1 day)  Brussels sprouts (2.0mg/kg safety security period of 1 day)  cauliflower (2.0mg/kg safety security period of 1 day)  clove (non-food use)  chrysanthemum (non-food use)  eucalyptus (non-food use)  bean (0.1mg/kg safety security period of 14 days)  fig (0.1mg/kg safety security period of 14 days)  gladiolus (non-food use)  guava (0.1mg/kg safety security period of 20 days)  yam (0.3mg/kg safety security period of 1 day)  scarlet eggplant (0.2mg/kg safety security period of 1 day)  apple (0.1mg/kg safety security period of 20 days)  papaya (1.0mg/kg safety security period of 7 days)  cassava (0.3mg/kg safety security period of 1 day)  arracacha (0.3mg/kg safety security period of 1 day)  mango (0.1mg/kg safety security period of 20 days)  passion fruit (0.1mg/kg safety security period of 7 days)  West Indian gherkin (0.5mg/kg safety security period of 1 day)  watermelon (0.1mg/kg safety security period of 14 days)  melon (0.1mg/kg safety security period of 14 days)  corn (0.1mg/kg safety security period of 15 days)  strawberry (0.7mg/kg safety security period of 1 day)  mustard (3.0mg/kg safety security period of 1 day)  turnip (0.3mg/kg safety security period of 1 day)  nectarine (0.7mg/kg safety security period of 1 day)  loquat (0.7mg/kg safety security period of 1 day)  cucumber (0.5mg/kg safety security period of 1 day)  pear (0.7mg/kg safety security period of 1 day)  peach (0.7mg/kg safety security period of 1 day)  green pepper (0.2mg/kg safety security period of 1 day)  radish (0.3mg/kg safety security period of 1 day)  cabbage (2.0mg/kg safety security period of 1 day)  rose (non-food use)  red mombin (0.7mg/kg safety security period of 1 day)  soy (0.1mg/kg safety security period of 30 days)  sorghum (0.1mg/kg safety security period of 15 days)  tomato (0.3mg/kg safety security period of 7 days)  wheat (0.1mg/kg safety security period of 35 days)  grape (2.0mg/kg safety security period of 14 days). Seeds application in cultures of wheat (0.1mg/kg safety security period not determined due to the mode of use). Plantation furrow application in cultures of sugarcane (0.2mg/kg safety security period of 90 days).</t>
  </si>
  <si>
    <t xml:space="preserve">Foliar application in cultures of pineapple (0.1mg/kg safety security period of 14 days)  pumpkin (0.5mg/kg safety security period of 1 day)  zucchini (0.5mg/kg safety security period of 1 day)  chard (3.0mg/kg safety security period of 1 day)  acerola (0.7mg/kg safety security period of 1 day)  poplar (non-food use)  lettuce (3.0mg/kg safety security period of 1 day)  on cotton leaves (0.1mg/kg safety security period of 30 days)  garlic (0.1mg/kg safety security period of 14 days)  endive (3.0mg/kg safety security period of 1 day)  plum (0.7mg/kg safety security period of 1 day)  peanut (0.1mg/kg safety security period of 30 days)  rice (0.1mg/kg safety security period of 35 days)  oat (0.1mg/kg safety security period of 35 days)  banana (0.05mg/kg safety security period of 5 days)  potato (0.1mg/kg safety security period of 30 days)  eggplant (0.2mg/kg safety security period of 1 day)  beet (0.3mg/kg safety security period of 1 day)  broccoli (2.0mg/kg safety security period of 1 day)  cocoa (0.1mg/kg safety security period of 14 days)  coffee (0.2mg/kg safety security period of 30 days)  sugarcane (0.2mg/kg safety security period of 90 days)  khaki (0.2mg/kg safety security period of 20 days)  onion (0.1mg/kg safety security period of 14 days)  carrot (0.6mg/kg safety security period of 14 days)  barley (0.5mg/kg safety security period of 35 days)  chicory (3.0mg/kg safety security period of 1 day)  chayote (0.5mg/kg safety security period of 1 day)  citrus (5.0mg/kg safety security period of 20 days)  kale (2.0mg/kg safety security period of 1 day)  Brussels sprouts (2.0mg/kg safety security period of 1 day)  cauliflower (2.0mg/kg safety security period of 1 day)  clove (non-food use)  chrysanthemum (non-food use)  eucalyptus (non-food use)  bean (0.1mg/kg safety security period of 14 days)  fig (0.1mg/kg safety security period of 14 days)  gladiolus (non-food use)  guava (0.1mg/kg safety security period of 20 days)  yam (0.3mg/kg safety security period of 1 day)  scarlet eggplant (0.2mg/kg safety security period of 1 day)  apple (0.1mg/kg safety security period of 20 days)  papaya (1.0mg/kg safety security period of 7 days)  cassava (0.3mg/kg safety security period of 1 day)  arracacha (0.3mg/kg safety security period of 1 day)  mango (0.1mg/kg safety security period of 20 days)  passion fruit (0.1mg/kg safety security period of 7 days)  West Indian gherkin (0.5mg/kg safety security period of 1 day)  watermelon (0.1mg/kg safety security period of 14 days)  melon (0.1mg/kg safety security period of 14 days)  corn (0.1mg/kg safety security period of 15 days)  strawberry (0.7mg/kg safety security period of 1 day)  mustard (3.0mg/kg safety security period of 1 day)  turnip (0.3mg/kg safety security period of 1 day)  nectarine (0.7mg/kg safety security period of 1 day)  loquat (0.7mg/kg safety security period of 1 day)  cucumber (0.5mg/kg safety security period of 1 day)  pear (0.7mg/kg safety security period of 1 day)  peach (0.7mg/kg safety security period of 1 day)  green pepper (0.2mg/kg safety security period of 1 day)  radish (0.3mg/kg safety security period of 1 day)  cabbage (2.0mg/kg safety security period of 1 day)  rose (non-food use)  red mombin (0.7mg/kg safety security period of 1 day)  soy (0.1mg/kg safety security period of 30 days)  sorghum (0.1mg/kg safety security period of 15 days)  tomato (0.3mg/kg safety security period of 7 days)  wheat (0.1mg/kg safety security period of 35 days)  grape (2.0mg/kg safety security period of 14 days). Seeds application in cultures of wheat (0.1mg/kg safety security period not determined due to the mode of use). Plantation furrow application in cultures of sugarcane (0.2mg/kg safety security period of 90 days). </t>
  </si>
  <si>
    <t>G/SPS/N/BRA/1101</t>
  </si>
  <si>
    <t>Draft resolution regarding the active ingredient A38 ACIBENZOLAR-S-METHYL of the monograph list of active ingredients for pesticides  household cleaning products and wood preservers  published by Resolution - RE n° 165 of 29 August 2003  Brazilian Official Gazette (DOU Diário Oficial da União) of 2 September 2003</t>
  </si>
  <si>
    <t>Foliar application on cotton leaves (1.0mg/kg safety security period of 21 days)  potato (0.1mg/kg safety security period of 14 days)  coffee (0.01mg/kg safety security period of 28 days)  onion (0.1mg/kg safety security period of 14 days)  eucalyptus (non-food use)  bean (1.0mg/kg safety security period of 14 days)  watermelon (0.07mg/kg safety security period of 1 day)  melon (0.07mg/kg safety security period of 1 day)  tomato (0.5mg/kg safety security period of 5 days)  wheat (0.05mg/kg safety security period of 21 days). Foliar (seedlings) application in cultures of cocoa (maximum residue limit and safety security period not determined due to the mode of use)  citrus (maximum residue limit and safety security period not determined due to the mode of use).</t>
  </si>
  <si>
    <t xml:space="preserve">Foliar application on cotton leaves (1.0mg/kg safety security period of 21 days)  potato (0.1mg/kg safety security period of 14 days)  coffee (0.01mg/kg safety security period of 28 days)  onion (0.1mg/kg safety security period of 14 days)  eucalyptus (non-food use)  bean (1.0mg/kg safety security period of 14 days)  watermelon (0.07mg/kg safety security period of 1 day)  melon (0.07mg/kg safety security period of 1 day)  tomato (0.5mg/kg safety security period of 5 days)  wheat (0.05mg/kg safety security period of 21 days). Foliar (seedlings) application in cultures of cocoa (maximum residue limit and safety security period not determined due to the mode of use)  citrus (maximum residue limit and safety security period not determined due to the mode of use). </t>
  </si>
  <si>
    <t>G/SPS/N/EU/157</t>
  </si>
  <si>
    <t>Commission Regulation (EU) amending Annex I to Regulation (EC) No 1334/2008 of the European Parliament and of the Council as regards removal from the Union list of certain flavouring substances (Text with EEA relevance)</t>
  </si>
  <si>
    <t>The Union list of flavourings and source materials is laid down in Annex I to Regulation (EC) No 1334/3008. The Union list was established by Commission Implementing Regulation (EU) No 872/2012 which is now amended by the notified measure.  This amendment concerns the withdrawal of the following four substances belonging to chemical subgroup 2.2 of FGE.19: 2 6 6-trimethyl-1-cyclohexen-1-carboxaldehyde (FL no. 05.121)  myrtenyl formate (FL no. 09.272)  myrtenyl-2-methylbutyrate (FL no. 09.899)  and myrtenyl-3-methylbutyrate (FL no. 09.900).  The European Food Safety Authority (EFSA) requested additional scientific data for completion of their evaluation as flavouring substances  which are part of group FGE.208. EFSA evaluated the data on this group of substances in its opinion of 24 June 2015 and concluded that the representative substance of the group p-mentha-1 8-dien-7-al (FL-no 05.117) is genotoxic in vivo and therefore its use as a flavouring substance raises a safety concern.  The EFSA opinion is available as Scientific Opinion on Flavouring Group Evaluation 208 Revision 1 (FGE.208Rev1): consideration of genotoxicity data on representatives for 10 alicyclic aldehydes with the á â-unsaturation in ring/side-chain and precursors from chemical subgroup 2.2 of FGE.19.  EFSA Journal 2015 13(7):4173  28 pp. doi:10.2903/j.efsa.2015.4173 Online at: www.efsa.europa.eu/efsajournal.  No support has been expressed for the four substances 2 6 6-trimethyl-1-cyclohexen-1-carboxaldehyde (FL no. 05.121)  myrtenyl formate (FL no. 09.272)  myrtenyl-2-methylbutyrate (FL no. 09.899) and myrtenyl-3-methylbutyrate (FL no. 09.900).</t>
  </si>
  <si>
    <t>G/SPS/N/EU/156</t>
  </si>
  <si>
    <t>Draft Commission Regulation amending Annex II to Regulation (EC) No 1333/2008 of the European Parliament and of the Council as regards the use of food additives in edible caseinates (Text with EEA relevance)</t>
  </si>
  <si>
    <t>Directive (EU) 2015/2203 of the European Parliament and of the Council of 25 November 2015 on the approximation of the laws of the member States relating to caseins and caseinates intended for human consumption and repealing Council Directive 83/417/EEC provides clarity as regards the classification of certain substances in edible caseinates which are considered food additives.  The provisions on food additives in Directive (EU) 2015/2203 should be reflected in Annex II to Regulation (EC) No 1333/2008 on food additives. Edible caseinates belong to dairy products. However  that group is not specified in. Therefore  a food category "Edible caseinates" should be established and the additives authorised in edible caseinates should be included with the respective conditions of use. The transfer will ensure legal clarity and does not introduce new uses of food additives.</t>
  </si>
  <si>
    <t>G/SPS/N/TPKM/350/Add.1</t>
  </si>
  <si>
    <t>Processing aids to be used in food processing</t>
  </si>
  <si>
    <t>Madagascar</t>
  </si>
  <si>
    <t>G/SPS/N/MDG/20</t>
  </si>
  <si>
    <t>projet de Loi alimentaire</t>
  </si>
  <si>
    <t>Le projet de loi alimentaire a pour objet  notamment : - d'établir les principes généraux régissant les denrées alimentaires et l'alimentation animale en général  et les mesures en matière de sécurité sanitaire des denrées alimentaires et des aliments pour animaux en particulier  au niveau national - d'établir des principes et des responsabilités communs  le moyen de fournir une base scientifique solide  des dispositions et des procédures organisationnelles efficaces pour étayer la prise de décision dans le domaine de la sécurité sanitaire des denrées alimentaires et des aliments pour animaux. Sont également énoncés  les principes généraux de la législation alimentaire ainsi que les responsabilités des exploitants du secteur alimentaire A ce titre  - Il institue la mise en place de deux nouvelles structures  d'une part à jouer un rôle de coordination dans le système de sécurité sanitaire des aliments (Bureau National de Coordination)et d'autre part  à assurer l'évaluation des risques sanitaires (Dispositif National en charge de l'Évaluation des risques sanitaires  et phytosanitaires). Et liste les Services officiels et Autorités compétentes impliqués dans le système de sécurité sanitaire des aliments et définit leurs domaines d'intervention  leurs missions ainsi que les pouvoirs assignés à leurs Inspecteurs dans le cadre de l'exercice de leurs fonctions. - Il fixe des procédures relatives à des questions ayant un impact direct ou indirect sur la sécurité sanitaire des denrées alimentaires et des aliments pour animaux.  Il s'applique à toutes les étapes de la production des denrées alimentaires et des aliments pour animaux allant de la transformation jusqu'à la distribution aux consommateurs finaux.   Il prescrit également les infractions et les peines prévues en cas de non respect des dispositions établies.</t>
  </si>
  <si>
    <t xml:space="preserve"> HS codes: 02  09  23  20  07  04  16  03  10  08  18  21  17  11  05  19 </t>
  </si>
  <si>
    <t>Animal feed  Food safety  Human health</t>
  </si>
  <si>
    <t>G/SPS/N/AUS/381</t>
  </si>
  <si>
    <t xml:space="preserve">Proposal to Amend Schedule 20 of the revised Australia New Zealand Food Standards Code (9 February 2016 - Proposed amendment (Agricultural and Veterinary Chemicals Code Instrument No. 4 (MRL Standard) Amendment Instrument 2016 (No. 2))) </t>
  </si>
  <si>
    <t>G/SPS/N/IDN/108</t>
  </si>
  <si>
    <t>Draft Regulation of the Head of Indonesian National Agency of Drug and Food Control concerning Requirement of Commercially Sterile Food</t>
  </si>
  <si>
    <t>The requirements for Commercial Sterile Food are not yet regulated in Indonesia. Due to some regulation development from another countries regarding the microbiological contaminant requirements and Code of Hygienic Practices for Low-Acid Canned Foods  NADFC has already started to amend the requirement of microbiological contaminant in Annex I of the Regulation of the Head of NADFC No. HK. 00.06.1.52.4011 on Maximum Level Requirement of Microbiological and Chemical Contaminants in Food. This regulation is the developed version from Regulation of the Head of NADFC No. HK.00.06.1.52.4011 on Maximum Level Requirement of Microbiological and Chemical Contaminants in Food. This regulation specified the requirement of commercially sterile processed foods with heat treatment. Component which included in the regulation is the requirements of F0 must be 3.0 minutes minimum  counted by spores of Clostridium botulinum. The Code of Practices for the purpose of implementation in industries are listed in NADFC Guidelines on Good Manufacturing Practices of Commercially Sterile Food. As this new regulation is issued  therefore all the regulation regarding the requirement of Microbiological Contaminants and microbiological criteria in food declared to be invalid.</t>
  </si>
  <si>
    <t>Processed food/Commercially sterile food</t>
  </si>
  <si>
    <t>Bacteria  Contaminants  Food safety  Human health</t>
  </si>
  <si>
    <t>Morocco</t>
  </si>
  <si>
    <t>G/SPS/N/MAR/44</t>
  </si>
  <si>
    <t xml:space="preserve"> HS codes: 17  23  22  05  02  18  12  06  11  04  21  03  15  08  09  10  19  16  20  01  07  14  13  31 </t>
  </si>
  <si>
    <t>Food safety  Animal health  Plant protection  Protect humans from animal/plant pest or disease  Protect territory from other damage from pests</t>
  </si>
  <si>
    <t>G/SPS/N/IND/129</t>
  </si>
  <si>
    <t>The Draft Food Safety and Standard (Food Products Standards and Food Additives) Amendment Regulations  2016 relating to the standards of Proprietary food.</t>
  </si>
  <si>
    <t>Proprietary food</t>
  </si>
  <si>
    <t>G/SPS/N/THA/235</t>
  </si>
  <si>
    <t>Draft Ministry of Public Health Notification  No. .... B.E. .... (....) entitled "Novel food"</t>
  </si>
  <si>
    <t>The Ministry of Public Health (MOPH) considered that novel ingredients which have never been used for consumption as food or used as food ingredients as well as novel process that never been used earlier for production of food. Therefore  the notification of MOPH entitled "Novel food" has been issued for providing risk assessment measure in order to protect consumer as follows:  Clause 1 - Novel food in this notification means: 1) Any object used as food or food ingredients which have been significantly used for human consumption less than fifteen years based on scientific or reliable evidence  or 2) Any object used as food or food ingredients to which has been applied a production process not currently used  where that process gives rise to significant changes in the composition or structure of such food which affect their nutritional value  metabolism or level of undesirable substances  or 3) Any food product contains either 1) or 2) as an ingredient.  However  food additives and food obtained through certain techniques of Genetic Modification/Genetic Engineering are not included in this notification. Clause 2 - Novel food shall be evaluated on safety assessment prior to submit its label to Food and Drug Administration for approval before use.  Clause 3 - To evaluate safety assessment of such novel food  results of safety assessment by risk assessment centres recognized by Food and Drug Administration together with other relevant information described in the annex of this notification shall be submitted to Food and Drug Administration.  Information and scientific data about novel food required in Annex covers general information  specification  history of use  production process  analytical method  recommended dose or instruction for use  toxicological information consisting of absorption  distribution  metabolism  and elimination (ADME) and toxicological studies in animal and/or human  and nutrition information.  Clause 4 - Novel food shall have specification and condition of use as approved by Food and Drug Administration. Clause 5 - Producers or Importers of novel food shall follow this notification  a particular notification and relevant regulations with such novel foods. Clause 6 - Labeling of novel food shall comply with the notification of MOPH (No. 367) B.E. 2557 (2014) Re: Labeling of Prepackaged Foods  except clause 4(9) shall display date  month  and year of production and date  month  and year of expiration for consumption by expressing date  month  year respectively  and shall incorporated with declarations of "Produce"  "Expire"  or "Consume before"  as the case may be. In addition  the following information shall be expressed on its label: (1) Name of active ingredient (if any)  and  (2) Instruction of use  or condition of use such as type or category of food and maximum permitted level of use. Clause 7 - This notification does not apply to novel food for exportation. Clause 8 - This notification does not apply to producers or importers of novel foods which are permitted and produced or imported prior to the date of this notification come into force.  Clause 9 - This notification shall come into force as from the day following date of its publication in the Government Gazette.</t>
  </si>
  <si>
    <t>Novel food (ICS Codes: 67.020   67.040)</t>
  </si>
  <si>
    <t>G/SPS/N/BRA/1098</t>
  </si>
  <si>
    <t>Draft resolution regarding the active ingredient M35 METHYLCYCLOPROPENE of the monograph list of active ingredients for pesticides  household cleaning products and wood preservers  published by Resolution - RE n° 165 of 29 August 2003  Brazilian Official Gazette (DOU Diário Oficial da União) of 2 September 2003</t>
  </si>
  <si>
    <t>Post-harvest application in cultures of avocado  plum  banana  khaki  citrus  guava  apple  papaya  mango  watermelon  melon  kiwi fruit  tomato (maximum residue limit and safety security period not determined). Post-harvest application in cultures of azalea  clove  chrysanthemum  gerberas  gypsophiletalia  lily  rose  violet (non-food use).</t>
  </si>
  <si>
    <t>G/SPS/N/BRA/1095</t>
  </si>
  <si>
    <t>Draft resolution regarding the active ingredient E05 ETHEPHON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</si>
  <si>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pineapple (0.5mg/kg safety security period of 14 days)  rice (0.2mg/kg safety security period of 30 days)  coffee (1.0mg/kg safety security period of 30 days)  apple (0.15mg/kg safety security period of 70 days)  mango (0.1mg/kg safety security period not determined due to the mode of use)  soy (0.1mg/kg safety security period of 106 days). Maturator application in cultures of cotton (0.2mg/kg safety security period of 7 days)  sugarcane (0.5mg/kg safety security period of 50 days)  fig (2.0mg/kg safety security period of 5 days). Desicant application in cultures of potato (0.1mg/kg safety security period of 10 days)  bean (0.1mg/kg safety security period of 5 days)  soy (0.1mg/kg safety security period of 10 days). Trunk application in cultures of pinus (non-food use)  rubber tree (non-food use). Defoliant application in cultures of grape (0.1mg/kg safety security period not determined due to the mode of use).</t>
  </si>
  <si>
    <t>G/SPS/N/BRA/1099</t>
  </si>
  <si>
    <t>Draft resolution regarding the active ingredient T48 THIAMETHOXAM of the monograph list of active ingredients for pesticides  household cleaning products and wood preservers  published by Resolution - RE n° 165 of 29 August 2003  Brazilian Official Gazette (DOU Diário Oficial da União) of 2 September 2003</t>
  </si>
  <si>
    <t>Foliar application in cultures of lettuce (1.0mg/kg safety security period of 1 day)  on cotton leaves (0.03mg/kg safety security period of 21 days)  watercress (1.0mg/kg safety security period of 1 day)  garlic (0.05mg/kg safety security period of 7 days)  leek (1.0mg/kg safety security period of 1 day)  peanut (0.02mg/kg safety security period of 42 days)  rice (1.0mg/kg safety security period of 21 days)  oat (0.2mg/kg safety security period of 7 days)  potato (0.02mg/kg safety security period of 10 days)  sugarcane (0.01mg/kg safety security period of 30 days)  onion (0.02mg/kg safety security period of 3 days)  welsh onion (1.0mg/kg safety security period of 1 day)  barley (0.3mg/kg safety security period of 7 days)  citrus (1.0mg/kg safety security period of 10 days)  coriander (1.0mg/kg safety security period of 1 day)  chrysanthemum (non-food use)  pea (0.2mg/kg safety security period of 3 days)  bean (0.02mg/kg safety security period of 14 days)  fig (0.1mg/kg safety security period of 1 day)  tobbaco (non-food use)  sunflower (0.05mg/kg safety security period of 7 days)  apple (0.06mg/kg safety security period of 14 days)  papaya (0.1mg/kg safety security period of 7 days)  cassava (0.02mg/kg safety security period of 10 days)  mango (0.05mg/kg safety security period of 5 days)  watermelon (0.1mg/kg safety security period of 14 days)  melon (0.02mg/kg safety security period of 7 days)  corn (0.02mg/kg safety security period of 30 days)  strawberry (0.1mg/kg safety security period of 1 day)  indian fig (feed) (0.05mg/kg safety security period of 7 days)  pasture (0.7mg/kg safety security period of 3 days)  cucumber (0.02mg/kg safety security period of 1 day)  green pepper (0.2mg/kg safety security period of 1 day)  cabbage (0.03mg/kg safety security period of 1 day)  rose (non-food use)  soy (0.02mg/kg safety security period of 30 days)  sorghum (0.1mg/kg safety security period of 7 days)  tomato (1.0mg/kg safety security period of 3 days)  wheat (0.02mg/kg safety security period of 10 days)  grape (0.5mg/kg safety security period of 7 days). Seeds application on cotton seeds (0.02mg/kg safety security period not determined due to the mode of use)  peanut (0.02mg/kg safety security period not determined due to the mode of use)  rice (1.0mg/kg safety security period not determined due to the mode of use)  potato (0.02mg/kg safety security period not determined due to the mode of use)  barley (0.3mg/kg safety security period not determined due to the mode of use)  bean (0.02mg/kg safety security period not determined due to the mode of use)  sunflower (0.05mg/kg safety security period not determined due to the mode of use)  corn (0.02mg/kg safety security period not determined due to the mode of use)  pasture (0.7mg/kg safety security period not determined due to the mode of use)  soy (0.02mg/kg safety security period not determined due to the mode of use)  sorghum (0.1mg/kg safety security period not determined due to the mode of use)  wheat (0.02mg/kg safety security period not determined due to the mode of use). Soil application in cultures of pineapple (0.02mg/kg safety security period of 60 days)  zucchini (0.02mg/kg safety security period of 45 days)  lettuce (1.0mg/kg safety security period not determined due to the mode of use)  rice (1.0mg/kg safety security period of 78 days)  potato (0.02mg/kg safety security period of 89 days)  eggplant (0.02mg/kg safety security period of 40 days)  coffee (0.1mg/kg safety security period of 90 days)  sugarcane (0.01mg/kg safety security period not determined due to the mode of use)  citrus (1.0mg/kg safety security period of 14 days)  french beans (0.02mg/kg safety security period of 60 days)  tobbaco (non-food use)  apple (0.02mg/kg safety security period of 60 days)  papaya (0.1mg/kg safety security period of 7 days)  watermelon (0.1mg/kg safety security period of 14 days)  melon (0.02mg/kg safety security period of 43 days)  strawberry (0.1mg/kg safety security period of 1 day)  cucumber (0.02mg/kg safety security period of 45 days)  peach (0.02mg/kg safety security period of 45 days)  green pepper (0.2mg/kg safety security period of 46 days)  cabbage (0.03mg/kg safety security period of 70 days)  tomato (1.0mg/kg safety security period of 10 days)  grape (0.5mg/kg safety security period of 45 days). Plantation furrow in cultures of sugarcane (0.01mg/kg safety security period not determined due to the mode of use)  corn (0.02mg/kg safety security period not determined due to the mode of use). Immersion (seedlings) application in cultures of eucalyptus (non-food use). Immersion (peduncle) in cultures of pineapple (0.02mg/kg safety security period not determined due to the mode of use). Trunk application in cultures of citrus (1.0mg/kg safety security period of 180 days). Industrial treatment of vegetative propagules (seedlings) before plantation in cultures of sugarcane (0.01mg/kg safety security period not determined due to the mode of use).</t>
  </si>
  <si>
    <t>G/SPS/N/BRA/1097</t>
  </si>
  <si>
    <t>Draft resolution regarding the active ingredient T54 TRIFLOXYSTROBIN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</si>
  <si>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(0.2mg/kg safety security period of 1 day)  zucchini (0.2mg/kg safety security period of 1 day)  chard (2.0mg/kg safety security period of 1 day)  acerola (0.3mg/kg safety security period of 1 day)  lettuce (2.0mg/kg safety security period of 1 day)  on cotton leaves (0.05mg/kg safety security period of 21 day)  garlic (0.05mg/kg safety security period of 14 days)  endive (2.0mg/kg safety security period of 1 day)  plum (0.5mg/kg safety security period of 1 day)  peanut (0.05mg/kg safety security period of 15 days)  rice (0.2mg/kg safety security period of 15 days)  oat (0.05mg/kg safety security period of 30 days)  banana (0.05mg/kg safety security period of 1 day)  potato (0.02mg/kg safety security period of 30 days)  eggplant (0.1mg/kg safety security period of 1 day)  beet (0.1mg/kg safety security period of 1 day)  broccoli (0.7mg/kg safety security period of 1 day)  coffee (0.05mg/kg safety security period of 30 days)  sugarcane (0.05mg/kg safety security period of 90 days)  khaki (0.2mg/kg safety security period of 20 days)  onion (0.02mg/kg safety security period of 14 days)  carrot (0.05mg/kg safety security period of 14 days)  barley (0.5mg/kg safety security period of 30 days)  chicory (2.0mg/kg safety security period of 1 day)  chayote (0.2mg/kg safety security period of 1 day)  citrus (0.2mg/kg safety security period of 14 days)  kale (0.7mg/kg safety security period of 1 day)  Brussels sprouts (0.7mg/kg safety security period of 1 day)  cauliflower (0.7mg/kg safety security period of 1 day)  eucalyptus (non-food use)  bean (0.2mg/kg safety security period of 15 days)  guava (0.05mg/kg safety security period of 20 days)  yam (0.1mg/kg safety security period of 1 day)  scarlet eggplant (0.1mg/kg safety security period of 1 day)  apple (0.05mg/kg safety security period of 7 days)  papaya (0.05mg/kg safety security period of 7 days)  cassava (0.1mg/kg safety security period of 1 day)  arracacha (0.1mg/kg safety security period of 1 day)  mango (0.05mg/kg safety security period of 20 days)  passion fruit (0.05mg/kg safety security period of 7 days)  West Indian gherkin (0.2mg/kg safety security period of 1 day)  watermelon (0.05mg/kg safety security period of 14 days)  melon (0.5mg/kg safety security period of 14 days)  corn (0.05mg/kg safety security period of 15 days)  strawberry (0.3mg/kg safety security period of 1 day)  mustard (2.0mg/kg safety security period of 1 day)  turnip (0.1mg/kg safety security period of 1 day)  nectarine (0.5mg/kg safety security period of 1 day)  loquat (0.5mg/kg safety security period of 1 day)  cucumber (0.2mg/kg safety security period of 1 day)  pear (0.5mg/kg safety security period of 1 day)  peach (0.5mg/kg safety security period of 1 day)  green pepper (0.1mg/kg safety security period of 1 day)  radish (0.1mg/kg safety security period of 1 day)  cabbage (0.7mg/kg safety security period of 1 day)  red mombin (0.3mg/kg safety security period of 1 day)  soy (0.02mg/kg safety security period of 30 days)  tomato (0.5mg/kg safety security period of 7 days)  wheat (0.05mg/kg safety security period of 30 days). Plantation furrow application in cultures of sugarcane (0.05mg/kg safety security period of 90 days).</t>
  </si>
  <si>
    <t>G/SPS/N/BRA/1096</t>
  </si>
  <si>
    <t>Draft resolution regarding the active ingredient E32 SPINETORAM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</si>
  <si>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(0.05mg/kg safety security period of 3 days)  zucchini (0.05mg/kg safety security period of 3 days)  acerola (0.3mg/kg safety security period of 3 days)  garlic (0.01mg/kg safety security period of 1 day)  plum (0.1mg/kg safety security period of 3 days)  blackberry (0.3mg/kg safety security period of 3 days)  olive (0.3mg/kg safety security period of 3 days)  potato (0.01mg/kg safety security period of 1 day)  sweet potato (0.01mg/kg safety security period of 1 day)  yacon potato (0.01mg/kg safety security period of 1 day)  eggplant (0.5mg/kg safety security period of 3 days)  beet (0.01mg/kg safety security period of 1 day)  water yam (0.01mg/kg safety security period of 1 day)  onion (0.01mg/kg safety security period of 1 day)  shallot (0.01mg/kg safety security period of 1 day)  chayote (0.05mg/kg safety security period of 3 days)  citrus (0.2mg/kg safety security period of 1 day)  chrysanthemum (non-food use)  raspberry (0.3mg/kg safety security period of 3 days)  ginger (0.01mg/kg safety security period of 1 day)  yam (0.01mg/kg safety security period of 1 day)  scarlet eggplant (0.5mg/kg safety security period of 3 days)  apple (0.02mg/kg safety security period of 3 days)  cassava (0.01mg/kg safety security period of 1 day)  arracacha (0.01mg/kg safety security period of 1 day)  quince (0.1mg/kg safety security period of 3 days)  West Indian gherkin (0.05mg/kg safety security period of 3 days)  watermelon (0.02mg/kg safety security period of 3 days)  melon (0.02mg/kg safety security period of 3 days)  corn (0.01mg/kg safety security period of 7 days)  blueberry (0.3mg/kg safety security period of 3 days)  strawberry (0.3mg/kg safety security period of 3 days)  turnip (0.01mg/kg safety security period of 1 day)  nectarine (0.1mg/kg safety security period of 3 days)  naseberry (0.1mg/kg safety security period of 3 days)  cucumber (0.05mg/kg safety security period of 3 days)  pear (0.1mg/kg safety security period of 3 days)  peach (0.1mg/kg safety security period of 3 days)  pepper (0.5mg/kg safety security period of 3 days)  green pepper (0.5mg/kg safety security period of 3 days)  Surinam cherry (0.3mg/kg safety security period of 3 days)  okra (0.5mg/kg safety security period of 3 days)  radish (0.01mg/kg safety security period of 1 day)  red mombin (0.3mg/kg safety security period of 3 days)  soy (0.02mg/kg safety security period of 7 days)  tomato (0.01mg/kg safety security period of 1 day).</t>
  </si>
  <si>
    <t>Foliar application in cultures of pumpkin (0.05mg/kg safety security period of 3 days)  zucchini (0.05mg/kg safety security period of 3 days)  acerola (0.3mg/kg safety security period of 3 days)  garlic (0.01mg/kg safety security period of 1 day)  plum (0.1mg/kg safety security period of 3 days)  blackberry (0.3mg/kg safety security period of 3 days)  olive (0.3mg/kg safety security period of 3 days)  potato (0.01mg/kg safety security period of 1 day)  sweet potato (0.01mg/kg safety security period of 1 day)  yacon potato (0.01mg/kg safety security period of 1 day)  eggplant (0.5mg/kg safety security period of 3 days)  beet (0.01mg/kg safety security period of 1 day)  water yam (0.01mg/kg safety security period of 1 day)  onion (0.01mg/kg safety security period of 1 day)  shallot (0.01mg/kg safety security period of 1 day)  chayote (0.05mg/kg safety security period of 3 days)  citrus (0.2mg/kg safety security period of 1 day)  chrysanthemum (non-food use)  raspberry (0.3mg/kg safety security period of 3 days)  ginger (0.01mg/kg safety security period of 1 day)  yam (0.01mg/kg safety security period of 1 day)  scarlet eggplant (0.5mg/kg safety security period of 3 days)  apple (0.02mg/kg safety security period of 3 days)  cassava (0.01mg/kg safety security period of 1 day)  arracacha (0.01mg/kg safety security period of 1 day)  quince (0.1mg/kg safety security period of 3 days)  West Indian gherkin (0.05mg/kg safety security period of 3 days)  watermelon (0.02mg/kg safety security period of 3 days)  melon (0.02mg/kg safety security period of 3 days)  corn (0.01mg/kg safety security period of 7 days)  blueberry (0.3mg/kg safety security period of 3 days)  strawberry (0.3mg/kg safety security period of 3 days)  turnip (0.01mg/kg safety security period of 1 day)  nectarine (0.1mg/kg safety security period of 3 days)  naseberry (0.1mg/kg safety security period of 3 days)  cucumber (0.05mg/kg safety security period of 3 days)  pear (0.1mg/kg safety security period of 3 days)  peach (0.1mg/kg safety security period of 3 days)  pepper (0.5mg/kg safety security period of 3 days)  green pepper (0.5mg/kg safety security period of 3 days)  Surinam cherry (0.3mg/kg safety security period of 3 days)  okra (0.5mg/kg safety security period of 3 days)  radish (0.01mg/kg safety security period of 1 day)  red mombin (0.3mg/kg safety security period of 3 days)  soy (0.02mg/kg safety security period of 7 days)  tomato (0.01mg/kg safety security period of 1 day)</t>
  </si>
  <si>
    <t>G/SPS/N/JPN/440</t>
  </si>
  <si>
    <t>Revision of the Standards and Specifications for Foods  Food Additives  etc. under the Food Sanitation Act</t>
  </si>
  <si>
    <t>Establishment of specifications and standards for utensils  containers  and packaging made of synthetic resins whose main component is polyethylene naphthalate. For greater transparency  this revision is also notified through TBT notification.</t>
  </si>
  <si>
    <t>Food utensils  containers and packaging</t>
  </si>
  <si>
    <t xml:space="preserve"> HS codes: 3924  3923  3919  3920 </t>
  </si>
  <si>
    <t>G/SPS/N/BRA/1094</t>
  </si>
  <si>
    <t>Draft resolution regarding the active ingredient S16 SAFLUFENACIL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</si>
  <si>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black acacia (non-food use)  banana (0.03mg/kg safety security period of 1 day)  coffee (0.03mg/kg safety security period of 1 day)  citrus (0.03mg/kg safety security period of 7 days)  eucalyptus (non-food use)  apple (0.03mg/kg safety security period of 15 days)  castor bean (non-food use)  mango (0.03mg/kg safety security period of 14 days)  corn (0.03mg/kg safety security period not determined due to the mode of use)  pasture (30.0mg/kg safety security period not determined due to the mode of use)  pinus (non-food use)  rubber tree (non-food use). Pre-emergency/Desiccant application in cultures of cotton (0.1mg/kg safety security period of 7 days)  bean (0.03mg/kg safety security period of 7 days)  soy (0.03mg/kg safety security period of 7 days). Pre/Post-emergency application in cultures of rice (0.03mg/kg safety security period of 60 days)  sugarcane (0.03mg/kg safety security period of 7 days). Desiccant application in cultures of potato (0.03mg/kg safety security period of 7 days)  sunflower (0.1mg/kg safety security period of 7 days). Pre-emergency application in cultures of wheat (0.03mg/kg safety security period not determined due to the mode of use).</t>
  </si>
  <si>
    <t>G/SPS/N/BRA/1092</t>
  </si>
  <si>
    <t>Draft resolution regarding the active ingredient C49 CARFENTRAZONE-ETHYL of the monograph list of active ingredients for pesticides  household cleaning products and wood preservers  published by Resolution - RE n° 165 of 29 August 2003  Brazilian Official Gazette (DOU Diário Oficial da União) of 2 September 2003</t>
  </si>
  <si>
    <t>Desiccant application in cultures of cotton (0.1mg/kg safety security period of 8 days)  potato (0.02mg/kg safety security period of 10 days). Post-emegency application in cultures of cotton (0.1mg/kg safety security period of 8 days)  rice (0.02mg/kg safety security period of 66 days)  potato (0.02mg/kg safety security period of 10 days)  coffee (0.05mg/kg safety security period of 15 days)  sugarcane (0.05mg/kg safety security period of 6 days)  citrus (0.05mg/kg safety security period of 15 days)  eucalyptus (nopn-food use)  cassava (0.02mg/kg safety security period of 10 days)  corn (0.05mg/kg safety security period of 84 days)  pasture (0.01mg/kg safety security period not determined due to the mode of use)  soy (0.1mg/kg safety security period not determined when the pesticide is applied in post-emergency of weeds and in pre-plantation of the culture. The SSP is 30 days when the pesticide is applied in post-emergency of weeds and of the culture). Maturator application in cultures of sugarcane (0.05mg/kg safety security period of 6 days). Pre-emergency application in cultures of melon (0.05mg/kg safety security period not determined due to the mode of use).</t>
  </si>
  <si>
    <t>G/SPS/N/CHN/1043</t>
  </si>
  <si>
    <t>National Food Safety Standard: Food Nutritional Fortifier 5'-Cytidylic Acid</t>
  </si>
  <si>
    <t>This standard applies to food nutritional fortifier 5'-Cytidylic Acid which using yeast RNA as raw material  obtained through enzyme method. It specifies the technical requirements and testing methods for food nutritional fortifier 5'-Cytidylic Acid.</t>
  </si>
  <si>
    <t>Food nutritional fortifier 5'-Cytidylic Acid</t>
  </si>
  <si>
    <t>G/SPS/N/CHN/1044</t>
  </si>
  <si>
    <t>National food safety standard: Food Nutritional Fortifier Retinol Acetate</t>
  </si>
  <si>
    <t>This standard applies to related food nutritional fortifier of Retinol Acetate or Retinol Acetate that synthesized with â- ionone and acetic acid as the main raw material. It specifies the technical requirements and testing methods for Retinol Acetate.</t>
  </si>
  <si>
    <t>Food nutritional fortifier Retinol Acetate</t>
  </si>
  <si>
    <t>G/SPS/N/CHN/1046</t>
  </si>
  <si>
    <t>National Food Safety Standard: Food Nutritional Fortifier Polyfructose</t>
  </si>
  <si>
    <t xml:space="preserve">This standard applies to food nutritional fortifier polyfructose which utilizing chicory as raw material. Production process includes acid/alkali treatment  filtration to remove protein  minerals and short chain fructans  evaporation drying or spray drying. It specifies the technical requirements and testing methods for nutritional fortifier polyfructose. </t>
  </si>
  <si>
    <t>Food nutritional fortifier Polyfructose</t>
  </si>
  <si>
    <t>G/SPS/N/CHN/1047</t>
  </si>
  <si>
    <t>National Food Safety Standard: Food Nutritional Fortifier Fructo-oligosaccharides</t>
  </si>
  <si>
    <t>This standard is suitable for the food nutritional fortifier fructo-oligosaccharides. Fructo-oligosaccharides are the mixtures of GFn (n ranging from 2 to 5) obtained from white sugar and cane sugar through the processes of transfructosylation action by a â-fructosidase of Aspergillus niger or Aspergillus  purification and drying etc.  or the mixtures of GFn (n ranging from 2 to 7) and Fm (m ranging from 2 to 8) produced from chicory with the processes of partial enzymatic hydrolysis  purification and drying etc.</t>
  </si>
  <si>
    <t>Food nutritional fortifier Fructo-oligosaccharides</t>
  </si>
  <si>
    <t>G/SPS/N/CHN/1050</t>
  </si>
  <si>
    <t>National Food Safety Standard: Food Nutritional Fortifier Seaweed Iodine  Kelp</t>
  </si>
  <si>
    <t>This standard applies to food nutritional fortifier Seaweed Iodine which using Kelp as raw material  processed by water  alkali and ethanol. It specifies the technical requirements and testing methods for Seaweed Iodine.</t>
  </si>
  <si>
    <t>Food nutritional fortifier Seaweed Iodine  Kelp</t>
  </si>
  <si>
    <t>G/SPS/N/EU/155</t>
  </si>
  <si>
    <t>Draft Commission Implementing Decision amending the Annexes to Decision 2007/275/EC concerning the lists of animals and products to be subject to controls at border inspection posts under Council Directives 91/496/EEC and 97/78/EC</t>
  </si>
  <si>
    <t>Decision 2007/275/EC lays down the list of CN codes of live animals and products of animal origin  which are subject to import controls at Union border inspection posts  when introduced into the Union from third countries. The Draft Implementing Decision is a routine update of that list  as changes made to the Combined Nomenclature of the Common Customs Tariff  clarifications requested by member States' veterinary and customs authorities  changes in the animal by-product legislation and alignment with the CN codes contained in TRACES need to be taken into consideration to ensure harmonised import controls at Union borders.</t>
  </si>
  <si>
    <t xml:space="preserve"> HS codes: 0208  0602  0205  2104  1806  2309  0204  0202  0207  2942  3002  1605  3913  3101  2202  9602  1905  2106  3926  7101  0506  0206  1901  0209  3825  3105  0201  0203  0511  1702  1904  0210  1518  2208  1603  3001  3822  3503  2922  2930  1604  3302  3204  1505  2925  3507  2932 </t>
  </si>
  <si>
    <t>Animal health  Food safety  Human health</t>
  </si>
  <si>
    <t>G/SPS/N/KOR/529</t>
  </si>
  <si>
    <t>The proposed amendment seeks to: 1. Establish requirement for edible insects to comply with the standards for breeding of insects according to the Act on Fosterage and Support of the Insect Industry  2. Establish maximum residue limits of heavy metals in edible insects: - Maximum residue limits for lead (0.1ppm)  cadmium (0.05ppm) and arsenic (0.1ppm) in mealworm (Tenebrio molitor L.)  - Maximum residue limits for lead (0.3ppm) and cadmium (0.3ppm) in two-spotted cricket (Gryllus bimaculatus).</t>
  </si>
  <si>
    <t xml:space="preserve"> HS codes: 0106 </t>
  </si>
  <si>
    <t>Contaminants  Food safety  Heavy metals  Human health</t>
  </si>
  <si>
    <t>G/SPS/N/CHN/1048</t>
  </si>
  <si>
    <t>National Food Safety Standard: Food Nutritional Fortifier Zinc Chloride</t>
  </si>
  <si>
    <t>This standard applies to food nutrition fortifier zinc chloride generated from the reaction of hydrochloric acid and zinc oxide or zinc ingots  or by the sphalerite after roasting the hydrochloric acid leaching  then separated  dried and packed. It specifies the technical requirements and testing methods for food nutritional fortifier zinc chloride.</t>
  </si>
  <si>
    <t>Food nutritional fortifier Zinc Chloride</t>
  </si>
  <si>
    <t>G/SPS/N/CHN/1045</t>
  </si>
  <si>
    <t>National Food Safety Standard: Food Nutritional Fortifier D-sodium pantothenate</t>
  </si>
  <si>
    <t>This standard applies to related food nutritional fortifier of D- sodium pantothenate  which obtained from calcium pantothenate react with sodium sulfate or from condensation of á ã-dihydroxy-â â-dimethyl butyric acid ester sodium salt andâ-alanine.</t>
  </si>
  <si>
    <t>Food nutritional fortifier D-sodium pantothenate</t>
  </si>
  <si>
    <t>G/SPS/N/CHN/1042</t>
  </si>
  <si>
    <t>National Food Safety Standard: Food Nutritional Fortifier Magnesium Gluconate</t>
  </si>
  <si>
    <t xml:space="preserve">This standard applies to food nutritional fortifier Magnesium Gluconate which using gluconic acid (or gluconic acid-ä-lactone) and magnesium oxide (or magnesium carbonate) as raw material  obtained through chemical synthesis and refining process. It specifies the technical requirements and testing methods for Magnesium Gluconate. </t>
  </si>
  <si>
    <t>Food nutritional fortifier Magnesium Gluconate</t>
  </si>
  <si>
    <t>G/SPS/N/CHN/1049</t>
  </si>
  <si>
    <t>National Food Safety Standard: Food Nutritional Fortifier Zinc Acetate</t>
  </si>
  <si>
    <t>This standard applies to nutrition fortifier zinc acetate which was made by acetic acid and zinc oxide as raw materials. It specifies the technical requirements and testing methods for food nutritional fortifier zinc acetate.</t>
  </si>
  <si>
    <t>Food nutritional fortifier Zinc Acetate</t>
  </si>
  <si>
    <t>G/SPS/N/TPKM/363/Add.1</t>
  </si>
  <si>
    <t xml:space="preserve"> HS codes: 190110  0402  0401  2202  2201 </t>
  </si>
  <si>
    <t>G/SPS/N/TPKM/311/Add.1</t>
  </si>
  <si>
    <t>G/SPS/N/AUS/380</t>
  </si>
  <si>
    <t>Proposal to Amend Schedule 20 of the revised Australia New Zealand Food Standards Code (12 January 2016 - Proposed amendment (Agricultural and Veterinary Chemicals Code Instrument No. 4 (MRL Standard) Amendment Instrument 2016 (No. 1)))</t>
  </si>
  <si>
    <t>G/SPS/N/TUR/70</t>
  </si>
  <si>
    <t>Turkish Food Codex Communiqué on Botanicals and Botanical Preparations That May Be Used in Foods</t>
  </si>
  <si>
    <t>This Communiqué lays down a common procedure for the safety assessment of botanical materials (e.g. whole  fragmented or cut plants  plant parts  algae  fungi and lichens) and botanical preparations and provides lists of botanical materials and botanical preparations permitted for use in foods  conditions of use of them and rules on the labelling of foods which include botanical materials and botanical preparations.</t>
  </si>
  <si>
    <t>Botanicals and botanical preparations that may be used in foods</t>
  </si>
  <si>
    <t>G/SPS/N/USA/2814</t>
  </si>
  <si>
    <t>Choline Chloride  Exemption From the Requirement of a Tolerance</t>
  </si>
  <si>
    <t>This regulation establishes an exemption from the requirement of a tolerance for residues of the Choline Chloride (Acetyl Choline) in or on all food commodities when applied/used pre-harvest.</t>
  </si>
  <si>
    <t>Food safety  Human health  Tolerance exemption</t>
  </si>
  <si>
    <t>G/SPS/N/USA/2813</t>
  </si>
  <si>
    <t>Bacillus Amyloliquefaciens MBI600 (Antecedent Bacillus Subtilis MBI600)  Amendment to an Exemption From the Requirement of a Tolerance</t>
  </si>
  <si>
    <t>This regulation amends the existing exemption from the requirement of a tolerance for residues of the microbial pesticide Bacillus subtilis strain MBI600 to change the name to Bacillus amyloliquefaciens strain MBI600 (antecedent Bacillus subtilis strain MBI600) in or on all food commodities  including residues resulting from post-harvest uses  when applied or used in accordance with good agricultural practices.</t>
  </si>
  <si>
    <t>G/SPS/N/UKR/107/Add.1</t>
  </si>
  <si>
    <t>G/SPS/N/RUS/117/Corr.1</t>
  </si>
  <si>
    <t>HS Code(s): 0103  0203  0511  0210  2309  160100  1602</t>
  </si>
  <si>
    <t xml:space="preserve"> HS codes: 0203  1602  0511  2309  1601  0103  0210 </t>
  </si>
  <si>
    <t>G/SPS/N/KOR/527</t>
  </si>
  <si>
    <t>The proposed amendments seek to: 1. Permit irradiation of seasoned dried fish/shellfish for the purpose of sterilization  2. Adopt statistical concepts (three-class attributes plans) for microbiological specifications for twenty food types including noodles  sauces  etc.  3. Establish and revise maximum residue limits for pesticides: - Establish maximum residue limits for newly registered pesticides (oxathiapiprolin  indaziflam  isoxaflutole)  - Revise maximum residue limits for pesticides in 32 agricultural products  - Establish maximum residue limits for deltamethrin and fenpyrazamine in ginseng  4. Establish and revise maximum residue limits for veterinary drugs in foods: - Establish maximum residue limits for twenty six veterinary drugs in porcine muscle  5. Revise general testing methods.</t>
  </si>
  <si>
    <t xml:space="preserve"> HS codes: 02  06  07  08  0203  2103  1902 </t>
  </si>
  <si>
    <t>Bacteria  Food safety  Human health  Irradiation  Maximum residue limits (MRLs)  Pesticides  Veterinary drugs</t>
  </si>
  <si>
    <t>G/SPS/N/LKA/38/Add.1</t>
  </si>
  <si>
    <t>G/SPS/N/KOR/526</t>
  </si>
  <si>
    <t>Proposed amendments to Regulation on foods subject to Inspection Order</t>
  </si>
  <si>
    <t>The amendments seek to adjust terms to harmonize with Special Act on Imported Food Safety Control in force on 4 February 2016.</t>
  </si>
  <si>
    <t>G/SPS/N/THA/234</t>
  </si>
  <si>
    <t xml:space="preserve">Draft Ministry of Public Health Notification  No. ... B.E. .... entitled "Food Additives (No. 4)"  </t>
  </si>
  <si>
    <t>The Ministry of Public Health (MOPH) considered that it was appropriate to revise the detail of maximum use levels permitted for food additives including Cyclamate and Steviol glycoside as follows: Clause 1. The following Notifications shall be repealed:      (1) The Notification of the Ministry of Public Health No. 359 B.E. 2556 (2013)  Re: Cyclamate  dated on 8 July B.E. 2556 (2013)       (2) The Notification of the Ministry of Public Health No. 360 B.E. 2556 (2013)  Re: Steviol glycoside  dated on 8 July B.E. 2556 (2013).  Clause 2. Clause 6 of the Notification of the Ministry of Public Health No. 281 B.E. 2547 (2004) on Food Additives  dated on 18 August B.E. 2547 (2004) shall be repealed and replaced by the following provision:         "Clause 6 the use of food additives shall use following the  name of food additive  category or type of food  functional classes and maximum permitted use level according to annex I and annex II of this Notification.   Two or more food additives classified in the same functional classes  which have been determined the numeric maximum permitted level  are used in combination. The sum of the quantities obtained by dividing the amount of each food additive used by the maximum permitted level for that food additive must not exceed 1.   The use of food additives that differs from the statement stipulated in the first and second paragraph shall be approved by the Food and Drug Administration. Such food additives shall be evaluated safety assessment according to the rules  conditions and procedures for permission as follows:    (1) Food additives shall have the qualities or standards according to the Codex Advisory Specification for the Identity and Purity of Food Additives or the announcement of the Food and Drug Administration    (2) The dietary exposure of food additives shall be evaluated according to the principle approved by the Food Committee    (3) Food additives shall have the technical documents or reliable research publications supporting the necessity of using such additives in food    (4) Use of food additives shall comply with the current law and regulation of at least two countries  which have the reliable risk assessment system  namely the European Union  Australia  New Zealand  the United States of America and Japan.   The use of food additives according to the first  second and third paragraph shall not enforce  on the specific controlled food   or prescribed food quality or standard particularly stipulating in the Notification of the Ministry of Public Health on using food additives.  Clause 3. Clause 7 of the Notification of the Ministry of Public Health No. 281 B.E. 2547 (2004)  Re: Food Additives  dated on 18 August B.E. 2547 (2004) shall be repealed.  Clause 4. The manufacturer or food importer  obtaining a permission prior to the effective date of this Notification  shall comply with this Notification within one year from the effective date.  Clause 5. This Notification shall come into force as from the date of its publication in the Royal Gazette.</t>
  </si>
  <si>
    <t>Food additives - ICS Code(s): 67.220.20</t>
  </si>
  <si>
    <t>G/SPS/N/KOR/525</t>
  </si>
  <si>
    <t>Proposed amendments of regulation on import declaration and inspection for livestock products</t>
  </si>
  <si>
    <t>The proposed amendments seek to: 1. Establish requirements of health certificate etc. for importation: - Mandating original certificate (or duplicate copy) issued by exporting government  2. Extend the scope of foods for import declaration maximum five days prior to arrival date: - From sterilized(or pasteurized) processed goods to including meat  such as beef  pork  etc.  3. Specify measures for ineligible foodstuffs from the laboratory test or random sampling test(collection test)  and 4. Categorize harmful substances.</t>
  </si>
  <si>
    <t xml:space="preserve"> HS codes: 02  16 </t>
  </si>
  <si>
    <t>G/SPS/N/SAU/194</t>
  </si>
  <si>
    <t>The Kingdom of Saudi Arabia "Food Act"</t>
  </si>
  <si>
    <t>Food facilities (ICS Code: 67.020)</t>
  </si>
  <si>
    <t>G/SPS/N/USA/2749/Add.1</t>
  </si>
  <si>
    <t>HS Code: 48  ICS Code: 67  Food contact materials</t>
  </si>
  <si>
    <t xml:space="preserve"> HS codes: 48 </t>
  </si>
  <si>
    <t>G/SPS/N/USA/2754/Add.2</t>
  </si>
  <si>
    <t>Beverages  Spirits and Vinegar HS Code(s): 22  Food Technology ICS Code(s): 67</t>
  </si>
  <si>
    <t>G/SPS/N/USA/2810</t>
  </si>
  <si>
    <t>Center for Science in the Public Interest  Natural Resources Defense Council  Center for Food Safety  Consumers Union  Improving Kids' Environment  Center for Environmental Health  Environmental Working Group  Environmental Defense Fund  and James Huff  Filing of Food Additive Petition  Notice of Petition</t>
  </si>
  <si>
    <t>The Food and Drug Administration has filed a petition  submitted by the Center for Science in the Public Interest  Natural Resources Defense Council  Center for Food Safety  Consumers Union  Improving Kids' Environment  Center for Environmental Health  Environmental Working Group  Environmental Defense Fund  and James Huff  proposing that the food additive regulations be amended to no longer authorize the use of seven listed synthetic flavoring food additives and to establish zero tolerances for the additives. The food additive petition was filed on 17 August 2015.</t>
  </si>
  <si>
    <t>G/SPS/N/KOR/524</t>
  </si>
  <si>
    <t>Proposed inspection regulation of imported fishery products</t>
  </si>
  <si>
    <t>The proposed regulation seeks to: 1. Establish inspection standards and scope for imported fishery products by specifying: - Fishery products subject to document review  standards and methods of on-site inspection  indication and management of fishery products subject to focused control  2. Establish inspection and import declaration procedure varied by fishery item and end-uses of fish by specifying: - Inspection and import declaration procedure for returned fishery products  fishery products for attracting foreign currency and puffer fish  specified fishery products which special animal medicine applied  3. Establish verifying methods of weight  item  and labelling standards and corrective actions  4. Establish scope to decide test results of imported fishery products by specifying: Determination of partly perished or metal detected fishery products or the products mixed with different items  establishment and management of the Inspection  and Determination Committee on imported fishery products.</t>
  </si>
  <si>
    <t>G/SPS/N/THA/230/Add.1</t>
  </si>
  <si>
    <t>Food additives (ICS Code: 67.220.20)</t>
  </si>
  <si>
    <t>G/SPS/N/IND/123</t>
  </si>
  <si>
    <t>Draft Food Safety and Standard (Food Product Standard and Food Additives) Amendment Regulation  2015 and Draft Food Safety and Standards (Packaging and Labelling) (Amendment) Regulations  2015</t>
  </si>
  <si>
    <t>The draft Food Safety and Standard (Food Products Standards and Food Additives) (Amendment) Regulations  2015 and Draft Food Safety and Standards (packaging and Labelling) (Amendment) Regulations  2015  detail the inclusion of New Atomic Energy (Radiation Processing of Food and Allied Products)  Rules  2012 and labelling requirement of irradiated foods.</t>
  </si>
  <si>
    <t>Irradiation of food products</t>
  </si>
  <si>
    <t>G/SPS/N/IND/122</t>
  </si>
  <si>
    <t>Draft Food Safety and Standard (Food Product Standard and Food Additives) Amendment Regulation  2011</t>
  </si>
  <si>
    <t>The draft Food Safety and Standard (Food Products Standards and Food Additives) Amendment Regulation  2011 prescribes Standards for Malt Extract  Expeller Pressed Flour  Lactic Acid  Baker's Yeast  Ascorbic Acid  Calcium Propionate  Sodium Metabisulphite and Potassium Metabisuphite.</t>
  </si>
  <si>
    <t>G/SPS/N/IND/121</t>
  </si>
  <si>
    <t>Draft Food Safety and Standard (Contaminants  Toxin and Residues) (Amendment) Regulation  2015</t>
  </si>
  <si>
    <t>The draft Food Safety and Standard (Contaminants  Toxin and Residues) (Amendment) Regulation  2015 details the pharmacologically active substances prohibited for fish and fishery products and harmonization of MRL's for pesticides  antibiotics and veterinary drugs residues in foods.</t>
  </si>
  <si>
    <t>Pharmacologically active substances prohibited for fish and fishery products and harmonization of MRL's for pesticides  antibiotics and veterinary drugs residues in foods</t>
  </si>
  <si>
    <t>G/SPS/N/IND/120</t>
  </si>
  <si>
    <t xml:space="preserve">Draft Food Safety and Standard (Food Products Standards and Food Additives) Amendment Regulation  2011 related to maximum limit of Iron fillings in tea. </t>
  </si>
  <si>
    <t>G/SPS/N/AUS/374/Add.1</t>
  </si>
  <si>
    <t>G/SPS/N/AUS/372/Add.1</t>
  </si>
  <si>
    <t>G/SPS/N/AUS/378</t>
  </si>
  <si>
    <t>Proposal to Amend Schedule 20 of the revised Australia New Zealand Food Standards Code (15 December 2015 - Proposed amendment (Agricultural and Veterinary Chemicals Code Instrument No. 4 (MRL Standard) Amendment Instrument 2015 (No. 11)))</t>
  </si>
  <si>
    <t>G/SPS/N/KOR/523</t>
  </si>
  <si>
    <t>Proposed Draft Amendments to the temporary Standards &amp; Specifications for food and Food Additives</t>
  </si>
  <si>
    <t>The proposed amendments seek to: 1. Add temporary standards and specifications for livestock products  2. Integrate approval process for food additives derived from genetically modified microorganism  3. Reduce the data submitted for safety evaluation on food enzymes (or enzymes as food additives)  and 4. Clarify the data submitted for safety evaluation on food contact surface sanitizing solution  and mitigate the usage standard of food contact surface sanitizing solution.</t>
  </si>
  <si>
    <t>Food  food additives and livestock products standard</t>
  </si>
  <si>
    <t xml:space="preserve"> HS codes: 02  04 </t>
  </si>
  <si>
    <t>Biotechnology  Food additives  Food safety  Genetically modified organisms  Human health</t>
  </si>
  <si>
    <t>G/SPS/N/BRA/1085</t>
  </si>
  <si>
    <t>Draft resolution regarding the active ingredient I27 INDAZIFLAM of the monograph list of active ingredients for pesticides  household cleaning products and wood preservers  published by Resolution - RE n° 165 of 29 August 2003  Brazilian Official Gazette (DOU Diário Oficial da União) of 2 September 2003</t>
  </si>
  <si>
    <t>Pre/Post-emergency application in cultures of coffee (0.01mg/kg safety security period of 20 days)  sugarcane (0.01mg/kg safety security period of 165 days)  citrus (0.01mg/kg safety security period of 35 days)  eucalyptus (non-food use)  pinus (non-food use).</t>
  </si>
  <si>
    <t>Pre/Post-emergency application in cultures of coffee (0.01mg/kg safety security period of 20 days)  sugarcane (0.01mg/kg safety security period of 165 days)  citrus (0.01mg/kg safety security period of 35 days)  eucalyptus (non-food use)  pinus (non-food use)</t>
  </si>
  <si>
    <t>G/SPS/N/BRA/1083</t>
  </si>
  <si>
    <t>Draft resolution regarding the active ingredient Z04 ZOXAMIDE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</si>
  <si>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(0.1mg/kg safety security period of 7 days)  zucchini (0.1mg/kg safety security period of 7 days)  garlic (0.1mg/kg safety security period of 7 days)  potato (0.1mg/kg safety security period of 7 days)  eggplant (0.1mg/kg safety security period of 7 days)  onion (0.1mg/kg safety security period of 7 days)  scarlet eggplant (0.1mg/kg safety security period of 7 days)  cucumber (0.1mg/kg safety security period of 7 days)  pepper (0.1mg/kg safety security period of 7 days)  green pepper (0.1mg/kg safety security period of 7 days)  rose (non-food use)  tomato (0.1mg/kg safety security period of 7 days)  grape (0.5mg/kg safety security period of 7 days).</t>
  </si>
  <si>
    <t>Foliar application in cultures of pumpkin (0.1mg/kg safety security period of 7 days)  zucchini (0.1mg/kg safety security period of 7 days)  garlic (0.1mg/kg safety security period of 7 days)  potato (0.1mg/kg safety security period of 7 days)  eggplant (0.1mg/kg safety security period of 7 days)  onion (0.1mg/kg safety security period of 7 days)  scarlet eggplant (0.1mg/kg safety security period of 7 days)  cucumber (0.1mg/kg safety security period of 7 days)  pepper (0.1mg/kg safety security period of 7 days)  green pepper (0.1mg/kg safety security period of 7 days)  rose (non-food use)  tomato (0.1mg/kg safety security period of 7 days)  grape (0.5mg/kg safety security period of 7 days)</t>
  </si>
  <si>
    <t>G/SPS/N/BRA/1082</t>
  </si>
  <si>
    <t>Draft resolution regarding the active ingredient C09 CYMOXANIL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</si>
  <si>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(0.1mg/kg safety security period of 7 days)  zucchini (0.1mg/kg safety security period of 7 days)  garlic (0.1mg/kg safety security period of 7 days)  potato (0.1mg/kg safety security period of 7 days)  eggplant (0.1mg/kg safety security period of 7 days)  onion (0.1mg/kg safety security period of 7 days)  Scarlet eggplant (0.1mg/kg safety security period of 7 days)  watermelon (0.05mg/kg safety security period of 3 days)  melon (0.05mg/kg safety security period of 3 days)  cucumber (0.1mg/kg safety security period of 7 days)  pepper (0.1mg/kg safety security period of 7 days)  green pepper (0.1mg/kg safety security period of 7 days)  rubber tree (non-food use)  tomato (0.1mg/kg safety security period of 7 days)  grape (0.2mg/kg safety security period of 7 days).</t>
  </si>
  <si>
    <t>Foliar application in cultures of pumpkin (0.1mg/kg safety security period of 7 days)  zucchini (0.1mg/kg safety security period of 7 days)  garlic (0.1mg/kg safety security period of 7 days)  potato (0.1mg/kg safety security period of 7 days)  eggplant (0.1mg/kg safety security period of 7 days)  onion (0.1mg/kg safety security period of 7 days)  Scarlet eggplant (0.1mg/kg safety security period of 7 days)  watermelon (0.05mg/kg safety security period of 3 days)  melon (0.05mg/kg safety security period of 3 days)  cucumber (0.1mg/kg safety security period of 7 days)  pepper (0.1mg/kg safety security period of 7 days)  green pepper (0.1mg/kg safety security period of 7 days)  rubber tree (non-food use)  tomato (0.1mg/kg safety security period of 7 days)  grape (0.2mg/kg safety security period of 7 days)</t>
  </si>
  <si>
    <t>G/SPS/N/BRA/1081</t>
  </si>
  <si>
    <t>Draft resolution regarding the active ingredient T41 TEBUFENOZIDE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</si>
  <si>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zucchini (0.05mg/kg safety security period of 3 days)  on cotton leaves (0.05mg/kg safety security period of 14 days)  broccoli (2.0mg/kg safety security period of 3 days)  sugarcane (0.01mg/kg safety security period of 28 days)  citrus (0.5mg/kg safety security period of 7 days)  kale (2.0mg/kg safety security period of 3 days)  Chinese cabbage (2.0mg/kg safety security period of 3 days)  cauliflower (2.0mg/kg safety security period of 3 days)  eucalyptus (non-food use)  apple (0.5mg/kg safety security period of 14 days)  millet (0.02mg/kg safety security period of 60 days)  corn (0.02mg/kg safety security period of 60 days)  pear (0.5mg/kg safety security period of 14 days)  cabbage (2.0mg/kg safety security period of 3 days)  soy (0.05mg/kg safety security period of 14 days)  sorghum (0.02mg/kg safety security period of 60 days)  tomato (0.5mg/kg safety security period of 3 days).</t>
  </si>
  <si>
    <t>Foliar application in cultures of zucchini (0.05mg/kg safety security period of 3 days)  on cotton leaves (0.05mg/kg safety security period of 14 days)  broccoli (2.0mg/kg safety security period of 3 days)  sugarcane (0.01mg/kg safety security period of 28 days)  citrus (0.5mg/kg safety security period of 7 days)  kale (2.0mg/kg safety security period of 3 days)  Chinese cabbage (2.0mg/kg safety security period of 3 days)  cauliflower (2.0mg/kg safety security period of 3 days)  eucalyptus (non-food use)  apple (0.5mg/kg safety security period of 14 days)  millet (0.02mg/kg safety security period of 60 days)  corn (0.02mg/kg safety security period of 60 days)  pear (0.5mg/kg safety security period of 14 days)  cabbage (2.0mg/kg safety security period of 3 days)  soy (0.05mg/kg safety security period of 14 days)  sorghum (0.02mg/kg safety security period of 60 days)  tomato (0.5mg/kg safety security period of 3 days)</t>
  </si>
  <si>
    <t>G/SPS/N/EU/64/Add.3</t>
  </si>
  <si>
    <t>Novel foods</t>
  </si>
  <si>
    <t>G/SPS/N/EU/152</t>
  </si>
  <si>
    <t>Annexes to Draft Commission Regulation amending Annexes II  III and V to Regulation (EC) No 396/2005 of the European Parliament and of the Council as regards maximum residue levels for AMTT  diquat  dodine  glufosinate and tritosulfuron in or on certain products (Text with EEA relevance)</t>
  </si>
  <si>
    <t>These notified annexes to the draft Regulation set proposed maximum residue levels for AMTT  diquat  dodine  glufosinate and tritosulfuron in Annexes 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</si>
  <si>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1003  1008  0205  1006  1002  0208  0207  1007  1004  0209  1005  0204  0202  1001  0201  0210  0206  0203 </t>
  </si>
  <si>
    <t>G/SPS/N/EU/151</t>
  </si>
  <si>
    <t>Annexes to "Commission Regulation (EU) amending Annexes II and III to Regulation (EC) No 396/2005 of the European Parliament and the Council as regards maximum residue levels for carfentrazone-ethyl  ethofumesate  etoxazole  fenamidone  fluoxastrobin and flurtamone in or on certain products" (Text with EEA relevance)</t>
  </si>
  <si>
    <t>These notified annexes to the draft Regulation set proposed maximum residue levels (MRLs) for the substances carfentrazone-ethyl  ethofumesate  etoxazole  fenamidone  fluoxastrobin and flurtamone. MRLs for these substances in certain commodities are changed: either increased or lowered. Lower MRLs are set after updating the limit of determinations and/or deleting old uses which are not authorised any more in the European Union or for which a human health concern may not be excluded. The residue definitions of the substances have also been updated.</t>
  </si>
  <si>
    <t xml:space="preserve"> HS codes: 0210  0203  0201  0208  1004  1001  1007  0207  0206  0202  0204  1005  1003  0209  1002  1006  1008  0205 </t>
  </si>
  <si>
    <t>G/SPS/N/EU/150</t>
  </si>
  <si>
    <t>Annexes to Draft Commission Regulation amending Annexes II and III to Regulation (EC) No 396/2005 of the European Parliament and of the Council as regards maximum residue levels for 1-naphthylacetamide  1-naphthylacetic acid  chloridazon  fluazifop-P  fuberidazole  mepiquat and tralkoxydim in or on certain products (Text with EEA relevance)</t>
  </si>
  <si>
    <t>These notified annexes to the draft Regulation set proposed maximum residue levels for 1-naphthylacetamide  1-naphthylacetic acid  chloridazon  fluazifop-P  fuberidazole  mepiquat and tralkoxydim in Annex 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</si>
  <si>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1004  1003  0207  1005  0201  1001  0206  0202  1002  0204  0203  0205  0209  0210  0208  1008  1007  1006 </t>
  </si>
  <si>
    <t>G/SPS/N/THA/233</t>
  </si>
  <si>
    <t>Draft Control of Marketing of Infant and Young Child Food and Related Products Act</t>
  </si>
  <si>
    <t>This Draft Act controls the marketing of infant and young child food and related products according to the rules and agreement written in the International Code of Marketing of Breast-milk Substitutes and relevant resolutions adopted by member States of World Health Organization during World Health Assembly. It is composed of 6 chapters 33 sections. 1. In this Act  it controls the marketing of Infant and young child food and related products that includes: "Infant" means a child from birth under the age of 12 months. - "Young child" means a child aged between 12 months to three years. "Food for infant and young child" means infant formula  follow-up formula for infant and young children  and continuous milk for young children   complementary food that are marketed as products for infants and young children  and including other kinds of food for infant and young children proclaimed by the Minister with the advice of the Committee.   - "Related products" means milk containers  milk bottles  teats  or other products proclaimed by the Ministerial Notice with the advice of the Infant and Young Child Food and Related Products Marketing Committee.  2. The Committee on the Control of Marketing of Infant and Young Child Food and Related Products shall be established and composed of the government  academic  and NGOs representatives. 3. In regards to infant formula  follow-on formula  and continuous milk for young children  manufacturers  importers  and distributors are not allowed  with some exceptions  to engage in following activities: (1) advertising   (2) Sales promotion  (3) Offering product samples  (4) Donation  (5) Offering of object that carries the name  logo  signs  or symbols that may be related to the products to pregnant women  mothers or family members of infant and young children  whether directly or indirectly  (6) Sponsoring events or any other communication means that directly contact with pregnant women  mothers or family members of infant and young children  whether directly or indirectly  (7) Providing object  equipment or service with name  logo  or other symbols that links to the product to the organization and health system  (8) Offering gift  money  or other incentives  to medical and nursing professionals  or public health personnel  (9) Organizing academic training or seminar about infant and young child food  with exception of providing funds to professional medical and public health organization to hold academic meeting  and (10) Any other activities prescribed in the Ministerial Notice. 4. Manufacturers  importers  and distributors are not allowed to market the complementary food to pregnant women  mothers and family members of infants aged less than six months in the same ways as above mentioned. 5. Producers  importers  or distributors or its representative must provide factual product information to medical  nursing professional  and public health personnel and not provide information in following manner  falsely present  distort the details  overstate the benefit or properties  create misunderstanding of key information  claim or certify the benefits without scientific evidence  and make reference to breast-milk. 6.  Object or communication materials with information on infant formula and follow-on formula must also indicate the approximate financial cost for feeding infant and young children with infant formula and follow-on formula and warning about health hazards caused by inappropriate preparation or use of the product.  7. Medical and nursing professionals and public health personnel shall be obliged to provide counselling and education about the implementation of this Act and notify the Department of Health or the officials when the violation of this Act is observed. 8. Any person who contravenes this Act will be liable for a fine. Medical and nursing professionals and public health personnel who engaged with the misconduct of this Act will be reported to the professional organization to consider appropriate measure according to the professional organization. 9. This Act shall come into force 180 days following the date of its publication in the Government Gazette.</t>
  </si>
  <si>
    <t>Infant and young child food (HS Codes: 0401  0402)  (ICS Code: 67.100.10)</t>
  </si>
  <si>
    <t xml:space="preserve"> HS codes: 0402  0401 </t>
  </si>
  <si>
    <t>G/SPS/N/ZAF/41</t>
  </si>
  <si>
    <t>Draft Regulations  Relating to Miscellaneous Additives in Foodstuffs</t>
  </si>
  <si>
    <t>This draft regulation includes the requirements for the use of food additive which is used or intended to be used primarily as an acidity regulator  anti-caking agent  antifoaming agent  bleaching agent  bulking agent  carbonating agent  carrier  colour retention agent  emulsifier  emulsifying salt  firming agent  flavour enhancer  flour treatment agent  foaming agent  gelling agent  glazing agent  humectants  packaging gas  propellant  raising agent  sequestrant  stabiliser  thickener in foodstuffs and the permitted levels thereof in foodstuffs.</t>
  </si>
  <si>
    <t>Certain additives to be used in foodstuffs</t>
  </si>
  <si>
    <t>G/SPS/N/UKR/107</t>
  </si>
  <si>
    <t>Draft Law of Ukraine "On amendments to certain legislative acts of Ukraine concerning food safety"</t>
  </si>
  <si>
    <t>The Draft Law amends the Law of Ukraine as of 22 July 2014 No 1602-VII "On amendments to certain legislative acts of Ukraine concerning food safety". Adoption of the Draft will bring legislative acts of Ukraine on food safety control system in line with international requirements such as EU requirements taking into account social and economic situation of Ukraine.</t>
  </si>
  <si>
    <t>G/SPS/N/TPKM/377</t>
  </si>
  <si>
    <t>Amendments of standards for scope  application and limitation of potassium iodide and potassium iodate.</t>
  </si>
  <si>
    <t xml:space="preserve"> Food additives to be used in foods</t>
  </si>
  <si>
    <t>G/SPS/N/RUS/114</t>
  </si>
  <si>
    <t>Draft of the Eurasian Economic Collegium Decision on amendments to the Customs Union Technical Regulation  "On safety of food products"  adopted by the the Customs Union Commission Decision No. 880 as of 9 December 2011</t>
  </si>
  <si>
    <t>This document introduces amendments to the CU legislation specifically additional requirements to the products mentioned in point 3.</t>
  </si>
  <si>
    <t>Food products (chocolate  couverture chocolate  chocolate mass  cocoa products)</t>
  </si>
  <si>
    <t xml:space="preserve"> HS codes: 1804  1805  1806  1803 </t>
  </si>
  <si>
    <t>G/SPS/N/LKA/38</t>
  </si>
  <si>
    <t>Draft (Food Labelling and Advertising) Regulations  2015</t>
  </si>
  <si>
    <t>These Draft regulations on Food (Labelling and Advertising) set out several requirements: - Any food contained in a package or container should be labelled in accordance with these regulations otherwise  no person can transport  distribute  store  sell  offer for sale  expose or keep for sale or advertise for sale  - The main panel of the package or container should indicate: a. The common name in any two of the three languages  b. The brand name or trade name  c. The net contents of the package or container  - Any panel should include in any one or more of the three languages the following information: a. A complete list of ingredients  b. The name and address of the manufacturer/distributor  c. In the case of imported food products: i. Name and address of the importer ii. Name and address of the packer or distributor in Sri Lanka  d. The batch number or code number  e. The date of manufacture  f. In the case of food imported in bulk and repacked: i. The date of manufacture  ii. The date of repacking  g. The country of origin  in the case of imported foods  h. Consumer warnings  if any  - The international symbol for ionizing radiation should be indicated in green  in close proximity to the common name. The label on the food which has been treated with ionizing radiation should also carry a written statement indicating the type of treatment and this statement should be in close proximity to the common name of the food  - A valid certificate from an accredited agency or competent authority must be produced in order to label food as organic  - Prior written approval from the Chief Food Authority is required in order to have a label or advertisement which contains a health claim or nutrient function claim relating to any food. The regulations also include the following schedules: - Schedule I - Regulation 4 (1)(a)  - Schedule II - Regulation 5 (c)  - Schedule III - Regulation 7 (2)  - Schedule IV - Nutrition Labelling  - Schedule V - Nutrient Reference Value (NRV)  - Schedule VI - Use of Nutrition and Health claims  - Schedule VI - Conditions for Nutrient Contents  - Schedule VIII - Recommended Dietary Allowances for Sri Lankans (RDA) 2007  - Schedule IX - List of permitted vitamins  minerals  amino acids  nucleotides which may be added to foods.</t>
  </si>
  <si>
    <t>G/SPS/N/KOR/522</t>
  </si>
  <si>
    <t>The Republic of Korea is proposing to amend the Standards and Specifications for the Food Additives: 1) General principles for usage and manufacturing of food additives are revised  2) The definitions of 31 functional classes are added in general principles  and the functional classes are allocated in respective food additive  3) The reactions catalyzed of enzymes are added in definition of a respective enzyme  4)  The standards and specifications of the following two food additives are newly established: Neotame (as a sweetener)  Sodium ferrous citrate (as a nutrient supplement)  5) The specification of water soluble matters regarding microcrystalline cellulose is revised  6) Standards for the usage of  following five food additives are revised: Sorbic acid  potassium sorbate  calcium sorbate  acesulfame potassium  caffeine  7) Analytical methods for arsenic are revised  and measurement of arsenic by atomic absorption and inductively coupled plasma is newly established.</t>
  </si>
  <si>
    <t>G/SPS/N/THA/230</t>
  </si>
  <si>
    <t>Draft Ministry of Public Health Notification  No. ... B.E. .... entitled "Food Additives (No. 3)"</t>
  </si>
  <si>
    <t>The Ministry of Public Health Notification No. 363 B.E. 2556 (2013) entitled Food Additives (No. 2) prescribes the labelling of food additives by declaring additional details in order to ensure the correct use of food additives by food processors. The Ministry of Public Health (MOPH) considered that it was appropriate to revise the detail of food additives labelling as follows: Clause 1 - Revised some of the existing provisions of food additives labelling in order to comply with the Notification of the Ministry of Public Health  No. 367 B.E. 2557 (2014) entitled Labelling of Prepackaged Foods  dated 8 May B.E. 2557 (2014). These revisions include: - name and address of manufacturer or packers or importers or head office  - month and year of manufacture and expiration  -  details of food additives manufactured for export. Clause 2 - Amended the requirements by adding specific conditions for labelling of food additives derived from combining two or more kinds of food additives which are to be sold to food manufacturers or used as raw materials in food processing  but not sold directly to consumers or sold to food additive packers. However  there are two cases which may not require the declaration of the percentage of food additives on the label or in the manual or in the documents relating to the sale. These cases are indicated below: 1. The manufacture or imports of food additives for use in their own food product (or the same trademark of such manufacture or imports)  or 2. The manufacture or imports of food additives for sale to food manufacturers with agreement to provide information of percentage of food additives. This MOPH Notification will be enforced after it is notified in the Official Gazette.</t>
  </si>
  <si>
    <t>G/SPS/N/CHN/1040</t>
  </si>
  <si>
    <t>National Food Safety Standard: Food additive Sodium alginate</t>
  </si>
  <si>
    <t>This standard applies to food additive Sodium alginate  which uses Laminaria  Scagassum  Maerocystis  Ascophyllum nodosum and other Phaeophyta as raw material  and is obtained through extracting process. It stipulates the technical requirements and test methods for Sodium alginate.</t>
  </si>
  <si>
    <t>Food additive Sodium alginate</t>
  </si>
  <si>
    <t>G/SPS/N/CHN/1039</t>
  </si>
  <si>
    <t>National Food Safety Standard: Food Additive 4-Hexylresorcinol</t>
  </si>
  <si>
    <t xml:space="preserve">This standard applies to food additive 4-Hexylresorcinol  which is produced by reduction of Hexanoylresorcinol first and then recrystallization. </t>
  </si>
  <si>
    <t>Food additive 4-Hexylresorcinol</t>
  </si>
  <si>
    <t>G/SPS/N/CHN/1038</t>
  </si>
  <si>
    <t>National Food Safety Standard: Food Additive Stabilized Chlorine Dioxide</t>
  </si>
  <si>
    <t>This standard applies to food additive stabilized chlorine dioxide  which is produced by using food additive carbonate to absorb chlorine dioxide gas. This product must be activated by food additive hydrochloric acid. This standard stipulates the technical requirements and test methods for stabilized chlorine dioxide.</t>
  </si>
  <si>
    <t xml:space="preserve">Food additive Stabilized chlorine dioxide </t>
  </si>
  <si>
    <t>G/SPS/N/CHN/1037</t>
  </si>
  <si>
    <t>National Food Safety Standard: Food additive Potassium bicarbonate</t>
  </si>
  <si>
    <t>This standard applies to food additive potassium bicarbonate produced by ion exchange or carbonation. It stipulates the technical requirements and test methods for food additive Potassium bicarbonate.</t>
  </si>
  <si>
    <t>Food additive Potassium bicarbonate</t>
  </si>
  <si>
    <t>G/SPS/N/CHN/1036</t>
  </si>
  <si>
    <t>National Food Safety Standard: Food additive Talc powder</t>
  </si>
  <si>
    <t>This standard applies to food additive talc powder made by pulverization of talc. It spitulates the technical requirements and test methods for food additive talc powder.</t>
  </si>
  <si>
    <t>Food additive Talc powder</t>
  </si>
  <si>
    <t>G/SPS/N/CHN/1035</t>
  </si>
  <si>
    <t>National Food Safety Standard: Food additive Composite Leavening Agent</t>
  </si>
  <si>
    <t>This standard applies to the composite leavening agents (also known as baking powder  foam powder  ferment powder)  which is mixed by the food additives conforming to GB2760 through physical mixing methods according to certain proportion. Substances not included in GB2760 cannot be added (except for food materials).</t>
  </si>
  <si>
    <t>Food additive Composite leavening agent</t>
  </si>
  <si>
    <t>G/SPS/N/CHN/1034</t>
  </si>
  <si>
    <t>National Food Safety Standard: Food additive Purple Sweet Potato Pigment</t>
  </si>
  <si>
    <t>This standard applies to food additive Purple Sweet Potato Pigment obtained by leaching and extracting of tuberous roots of the sweet potato plant (Ipomoea batatas (L.) Lam.) with acidic water (such as citric acid) or ethanol water. It stipulates the technical requirements and test methods for food additive Purple Sweet Potato Pigment.</t>
  </si>
  <si>
    <t>Food additive Purple Sweet Potato Pigment</t>
  </si>
  <si>
    <t>G/SPS/N/CHN/1033</t>
  </si>
  <si>
    <t>National Food Safety Standard: Food additive Phytic acid (also known as Inositol hexaphosphoric acid)</t>
  </si>
  <si>
    <t>This standard applies to food additive Phytic acid (also known as Inositol hexaphosphoric acid)  which uses maize seed (kernels)  rice bran or rice husks (hulls) as raw materials  and is obtained through extraction  purification  concentration. It stipulates the technical requirements and test methods of phytic acid.</t>
  </si>
  <si>
    <t>Food additive Phytic acid (also known as Inositol hexaphosphoric acid)</t>
  </si>
  <si>
    <t>G/SPS/N/CHN/1032</t>
  </si>
  <si>
    <t>National Food Safety Standard: Food Additive Modified Soybean Lecithin</t>
  </si>
  <si>
    <t>This standard applies to food additive modified soybean lecithin  which uses natural soybean phosphatides as raw material  and is obtained through appropriate acetylation  hydroxylation and degreasing process. It stipulates technical requirements and test methods.</t>
  </si>
  <si>
    <t>Food additive modified soybean lecithin</t>
  </si>
  <si>
    <t>G/SPS/N/TUR/67</t>
  </si>
  <si>
    <t>Turkish Food Codex Regulation Amending the Regulation on flavourings and food ingredients with flavouring properties</t>
  </si>
  <si>
    <t>The purpose of this amendment is to harmonize the latest amendments of European Commission Regulation (EU) No 1334/2008 of 16 December 2008 on flavourings and food ingredients with flavouring properties. Amendments:  2015/1760  2015/1102  2015/648  1098/2014.</t>
  </si>
  <si>
    <t>G/SPS/N/CHN/1031</t>
  </si>
  <si>
    <t>National Food Safety Standard: Food additive Agar</t>
  </si>
  <si>
    <t xml:space="preserve">This standard applies to food additive Agar  which is made from Gelidium amansii  Gracilaria tenuistipitata  Pyropia and other Rhodophyta as raw material  and obtained through leaching and drying process. It stipulates the technical requirements and test methods for Agar. </t>
  </si>
  <si>
    <t>Food additive Agar</t>
  </si>
  <si>
    <t>G/SPS/N/CHN/1030</t>
  </si>
  <si>
    <t>National Food Safety Standard: Food additive Propylene glycol esters of fatty acids (Propylen Glycol Mono-and Distes of  Fatty Acids)</t>
  </si>
  <si>
    <t xml:space="preserve">This standard applies to food additive Propylene glycol esters of fatty acids  which is obtained from reaction of fatty acid or oil and 1  2 - propanediol generated  through or not through molecular distillation. It stipulates the technical requirements and test methods for Propylene glycol esters of fatty acids. </t>
  </si>
  <si>
    <t>Food additive Propylene glycol esters of fatty acids</t>
  </si>
  <si>
    <t>G/SPS/N/CHN/1029</t>
  </si>
  <si>
    <t>National Food Safety Standard: Food additive Xylitol</t>
  </si>
  <si>
    <t xml:space="preserve">This standard applies to food additive xylitol  which is made from corncob  bagasse and other agricultural products as raw materials  and obtained through hydrolysis  purification and hydrogenation. It stipulates the technical requirements and test methods for xylitol. </t>
  </si>
  <si>
    <t>Food additive Xylitol</t>
  </si>
  <si>
    <t>G/SPS/N/CHN/1028</t>
  </si>
  <si>
    <t>National Food Safety Standard: Food additive Vitamin E</t>
  </si>
  <si>
    <t>This standard applies to natural food additive Vitamin E extracted from the by-products of natural edible vegetable oil  or synthetized food additive Vitamin E. It stipulates the technical requirements and test methods for Vitamin E.</t>
  </si>
  <si>
    <t>Food additive Vitamin E</t>
  </si>
  <si>
    <t>G/SPS/N/CHN/1027</t>
  </si>
  <si>
    <t>National Food Safety Standard: Food additive sodium carboxymethyl cellulose</t>
  </si>
  <si>
    <t>This standard applies to food additive sodium carboxymethyl cellulose  which is made from cellulose  sodium hydroxide and chloroacetic acid or its sodium salt as raw material. It stipulates the technical requirements and test methods for sodium carboxymethyl cellulose.</t>
  </si>
  <si>
    <t>Food additive Sodium carboxymethyl cellulose</t>
  </si>
  <si>
    <t>G/SPS/N/CHN/1026</t>
  </si>
  <si>
    <t>National Food Safety Standard: Food additive nisin</t>
  </si>
  <si>
    <t>This standard applies to food additive nisin  which is produced from strains of Lactococcus lactis subsp lactis through appropriate fermentation and extraction. It stipulates the technical requirements and test methods for food additive nisin.</t>
  </si>
  <si>
    <t>Food additive nisin</t>
  </si>
  <si>
    <t>G/SPS/N/CHN/1025</t>
  </si>
  <si>
    <t>National Food Safety Standard: Food additive ascorbyl palmitate</t>
  </si>
  <si>
    <t>This standard applies to food additive ascorbyl palmitate  prepared from reaction between ascorbic acid and palmitoyl chloride which is produced by the reaction of palmitic acid and sulfoxide chloride. It stipulates the technical requirements and test methods for food additive ascorbyl palmitate.</t>
  </si>
  <si>
    <t>Food additive Ascorbyl palmitate</t>
  </si>
  <si>
    <t>G/SPS/N/USA/2502/Add.7</t>
  </si>
  <si>
    <t>Human food under the jurisdiction of the US Food and Drug Administration.  HS Code(s):  03  04  05  07  08  09  10  11  12  15  16  17  18  19  20  21  22   ICS Code(s):  65  67.</t>
  </si>
  <si>
    <t xml:space="preserve"> HS codes: 04  09  20  10  15  21  19  11  05  16  07  17  12  08  18  03  22 </t>
  </si>
  <si>
    <t>G/SPS/N/CHN/1010</t>
  </si>
  <si>
    <t>National Food Safety Standard: Vegetable Protein for Food Industry</t>
  </si>
  <si>
    <t>This standard applies to vegetable protein products intended for food preparation and food industry  using plants as main raw material  prepared by various separation and extraction. This standard does not apply to single celled vegetable protein.</t>
  </si>
  <si>
    <t>Vegetable protein for food industry</t>
  </si>
  <si>
    <t>G/SPS/N/CHN/1007</t>
  </si>
  <si>
    <t>National food safety standard: Yeasts used for food processing</t>
  </si>
  <si>
    <t>This standard applies to yeasts used for food processing. It specifies the safty requirements and testing methods for above products.</t>
  </si>
  <si>
    <t>Yeasts used for food processing</t>
  </si>
  <si>
    <t xml:space="preserve"> HS codes: 2102 </t>
  </si>
  <si>
    <t>G/SPS/N/CHN/1024</t>
  </si>
  <si>
    <t>National food safety standard: Food additive Aluminum potassium sulfate</t>
  </si>
  <si>
    <t xml:space="preserve">This standard applies to food additive aluminum potassium sulfate made by natural alunite ore method  Aluminum hydroxide method and Bauxite method. </t>
  </si>
  <si>
    <t>Food additive Aluminum potassium sulfate</t>
  </si>
  <si>
    <t>G/SPS/N/CHN/1023</t>
  </si>
  <si>
    <t>National Food Safety Standard: Food additive Citric Acid</t>
  </si>
  <si>
    <t xml:space="preserve">This standard applies to food additive Citric acid  which uses starch or sugar as raw materials  and is obtained through fermentation. It stipulates the technical requirements and test methods for Citric acid. </t>
  </si>
  <si>
    <t>Food additive Citric acid</t>
  </si>
  <si>
    <t>G/SPS/N/CHN/1022</t>
  </si>
  <si>
    <t>National Food Safety Standard:  Food additive Carbon dioxide</t>
  </si>
  <si>
    <t>This standard applies to food additive carbon dioxide  which uses carbon dioxide produced by alcohol fermentation  calcination of carbonates  synthesis ammonia  ethylene catalytic oxidation  gasification and other process as raw material  and is obtained through purification  refining  drying  cooling and pressing process. It stipulates technical requirements and test methods.</t>
  </si>
  <si>
    <t>Food additive Carbon dioxide</t>
  </si>
  <si>
    <t>G/SPS/N/CHN/1021</t>
  </si>
  <si>
    <t>National Food Safety Standard: Food additive morpholine fatty acid salt fruit wax</t>
  </si>
  <si>
    <t>This standard applies to the food additive morpholine fatty acid salt fruit wax  which uses morpholine  fatty acid and natural plant/ animal waxes (eg. carnauba wax) or natural plant/animal glue (eg. shellac) as raw material  and is prepared under a given temperature. It stipulates the technical requirements and test methods for morpholine fatty acid salt fruit wax.</t>
  </si>
  <si>
    <t xml:space="preserve">Food additive morpholine fatty acid salt fruit wax </t>
  </si>
  <si>
    <t>G/SPS/N/CHN/1020</t>
  </si>
  <si>
    <t>National Food Safety Standard: Food additive Propylene glycol alginate</t>
  </si>
  <si>
    <t>This standard applies to the food additive Propylene glycol alginate  which uses alginic acid as raw material and is obtained through esterification. It stipulates the technical requirements and test methods for Propylene glycol alginate.</t>
  </si>
  <si>
    <t>Food additive Propylene glycol alginate</t>
  </si>
  <si>
    <t>G/SPS/N/CHN/1019</t>
  </si>
  <si>
    <t>National Food Safety Standard: Food additive ethoxyquin</t>
  </si>
  <si>
    <t>This standard applies to food additive ethoxyquin  which uses p-phenetidine and acetone as raw materials and is obtained through heating with catalysts. It stipulates the technical requirements and test methods for ethoxyquin.</t>
  </si>
  <si>
    <t>Food additive ethoxyquin</t>
  </si>
  <si>
    <t xml:space="preserve"> HS codes: 3924  3919  3920  3923 </t>
  </si>
  <si>
    <t>G/SPS/N/CHN/1018</t>
  </si>
  <si>
    <t>National Food Safety Standard: Food-contact Coating and Coating Layers</t>
  </si>
  <si>
    <t xml:space="preserve">The standard applies to coatings that are coated on the direct food-contact surface of food contact materials and articles  to form a layer or thin film that would protect and (or) affect the technical performance of the base material. </t>
  </si>
  <si>
    <t xml:space="preserve">Food-contact coating and coating layers </t>
  </si>
  <si>
    <t xml:space="preserve"> HS codes: 3920  3919  3924  3923 </t>
  </si>
  <si>
    <t>G/SPS/N/CHN/1017</t>
  </si>
  <si>
    <t>National Food Safety Standard: Food Contact Plastic Materials and Articles</t>
  </si>
  <si>
    <t>This standard applies to all kinds of food contact plastic materials and articles. This standard also applies to food contact thermo plastic elastomer materials and articles.</t>
  </si>
  <si>
    <t xml:space="preserve">Food contact plastic materials and articles </t>
  </si>
  <si>
    <t>G/SPS/N/CHN/1016</t>
  </si>
  <si>
    <t>National Food Safety Standard: Resins for Food Contact Plastic Materials and Articles</t>
  </si>
  <si>
    <t>This standard applies to the resins or resin blends for the manufacture of food contact plastic materials and articles. This standard also applies to the resins or resin blends for the manufacture of thermo plastic elastomer materials and articles intended to contact with food.</t>
  </si>
  <si>
    <t xml:space="preserve">Resins for food contact plastic materials and articles </t>
  </si>
  <si>
    <t>Contaminants  Food safety  Human health  Labelling  Packaging</t>
  </si>
  <si>
    <t>G/SPS/N/CHN/1015</t>
  </si>
  <si>
    <t>National Food Safety Standard: Food Contact Rubber Materials and Articles</t>
  </si>
  <si>
    <t>This standard specifies the safety requirements for raw materials  allowable additives  organoleptic properties  hygienic indexes and labels of food contact rubber materials and articles mainly made of natural rubber and synthetic rubber. This standard does not apply to teat and food contact silicone materials and articles.</t>
  </si>
  <si>
    <t>Food contact rubber materials and articles</t>
  </si>
  <si>
    <t xml:space="preserve"> HS codes: 40 </t>
  </si>
  <si>
    <t>G/SPS/N/CHN/1014</t>
  </si>
  <si>
    <t>National Food Safety Standard: Food Contact Metal Materials and Articles</t>
  </si>
  <si>
    <t>This standard applies to metal materials and articles used for food contact and specifies the safety requirements of raw materials  organoleptic properties  hygienic indexes  test and labels of food contact materials and articles made from metals.</t>
  </si>
  <si>
    <t>Food contact metal materials and articles</t>
  </si>
  <si>
    <t xml:space="preserve"> HS codes: 8215 </t>
  </si>
  <si>
    <t>G/SPS/N/CHN/1013</t>
  </si>
  <si>
    <t>National Food Safety Standard: Food Contact Paper and Paper Board Materials and Articles</t>
  </si>
  <si>
    <t>This standard applies to all kinds of paper and paper board materials and articles used for food contact  and specifies the safety requirements for the raw materials  allowable additives  organoleptic properties  hygienic indexes  test and labels of food contact paper and paper board materials and articles.</t>
  </si>
  <si>
    <t>Food contact paper and paper board materials and articles</t>
  </si>
  <si>
    <t xml:space="preserve"> HS codes: 3924  3920  3919  3923 </t>
  </si>
  <si>
    <t>G/SPS/N/KOR/521</t>
  </si>
  <si>
    <t>Proposed  Eligible Countries/Regions for Livestock Products import and health Requirements</t>
  </si>
  <si>
    <t>The proposed notification seeks to: - Specify the types of livestock products eligible for import by countries/regions  - Establish general import sanitation requirements of the eligible livestock products.</t>
  </si>
  <si>
    <t>G/SPS/N/USA/2570/Add.4</t>
  </si>
  <si>
    <t>Human food under the jurisdiction of the US Food and Drug Administration which excludes meat  poultry and processed egg products. HS Codes: 03  04  05  07  08  09  10  11  12  15  16  17  18  19  20  21  22  ICS Codes: 65  67</t>
  </si>
  <si>
    <t xml:space="preserve"> HS codes: 18  17  12  16  15  07  19  03  21  09  11  04  05  08  20  22  10 </t>
  </si>
  <si>
    <t>G/SPS/N/USA/2569/Add.3</t>
  </si>
  <si>
    <t>Human food under the jurisdiction of the US Food and Drug Administration which excludes meat  poultry  and processed egg products. HS Codes: 04  05  07  08  09  10  11  12  15  16  17  18  19  20  21  22  ICS Codes: 65  67</t>
  </si>
  <si>
    <t xml:space="preserve"> HS codes: 10  22  20  09  05  07  16  21  11  15  19  04  08  17  12  18 </t>
  </si>
  <si>
    <t>G/SPS/N/BRA/1075</t>
  </si>
  <si>
    <t>Draft resolution regarding the active ingredient E04 SULFUR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</si>
  <si>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(maximum residue limit and safety security period without restrictions)  pumpkin (maximum residue limit and safety security period without restrictions)  zucchini (maximum residue limit and safety security period without restrictions)  on cotton leaves (maximum residue limit and safety security period without restrictions)  garlic (maximum residue limit and safety security period without restrictions)  plum (maximum residue limit and safety security period without restrictions)peanut (maximum residue limit and safety security period without restrictions)  potato (maximum residue limit and safety security period without restrictions)  eggplant (maximum residue limit and safety security period without restrictions)  coffee (maximum residue limit and safety security period without restrictions)  cashew (maximum residue limit and safety security period without restrictions)  onion (maximum residue limit and safety security period without restrictions)  chayote (maximum residue limit and safety security period without restrictions)  citrus (maximum residue limit and safety security period without restrictions)  coconut (maximum residue limit and safety security period without restrictions)  kale (maximum residue limit and safety security period without restrictions)  cauliflower (maximum residue limit and safety security period without restrictions)  pea (maximum residue limit and safety security period without restrictions)  eucalyptus (maximum residue limit and safety security period without restrictions)  bean (maximum residue limit and safety security period without restrictions)  cowpea bean (maximum residue limit and safety security period without restrictions)  pod bean (maximum residue limit and safety security period without restrictions)  fig (maximum residue limit and safety security period without restrictions)  guava (maximum residue limit and safety security period without restrictions)  apple (maximum residue limit and safety security period without restrictions)  papaya (maximum residue limit and safety security period without restrictions)  castor bean (maximum residue limit and safety security period without restrictions)  mango (maximum residue limit and safety security period without restrictions)  quince (maximum residue limit and safety security period without restrictions)  maxixe (maximum residue limit and safety security period without restrictions)  watermelon (maximum residue limit and safety security period without restrictions)  melon (maximum residue limit and safety security period without restrictions)  corn (maximum residue limit and safety security period without restrictions)  strawberry (maximum residue limit and safety security period without restrictions)  turnip (maximum residue limit and safety security period without restrictions)  cucumber (maximum residue limit and safety security period without restrictions)  pear (maximum residue limit and safety security period without restrictions)  peach (maximum residue limit and safety security period without restrictions)  pepper (maximum residue limit and safety security period without restrictions)  green pepper (maximum residue limit and safety security period without restrictions)  jatropha (maximum residue limit and safety security period without restrictions)  okra (maximum residue limit and safety security period without restrictions)  cabbage (maximum residue limit and safety security period without restrictions)  rose (non-food use)  soy (maximum residue limit and safety security period without restrictions)  tomato (maximum residue limit and safety security period without restrictions)  wheat (maximum residue limit and safety security period without restrictions)  grape (maximum residue limit and safety security period without restrictions).</t>
  </si>
  <si>
    <t>Foliar application in cultures of avocado (maximum residue limit and safety security period without restrictions)  pumpkin (maximum residue limit and safety security period without restrictions)  zucchini (maximum residue limit and safety security period without restrictions)  on cotton leaves (maximum residue limit and safety security period without restrictions)  garlic (maximum residue limit and safety security period without restrictions)  plum (maximum residue limit and safety security period without restrictions)peanut (maximum residue limit and safety security period without restrictions)  potato (maximum residue limit and safety security period without restrictions)  eggplant (maximum residue limit and safety security period without restrictions)  coffee (maximum residue limit and safety security period without restrictions)  cashew (maximum residue limit and safety security period without restrictions)  onion (maximum residue limit and safety security period without restrictions)  chayote (maximum residue limit and safety security period without restrictions)  citrus (maximum residue limit and safety security period without restrictions)  coconut (maximum residue limit and safety security period without restrictions)  kale (maximum residue limit and safety security period without restrictions)  cauliflower (maximum residue limit and safety security period without restrictions)  pea (maximum residue limit and safety security period without restrictions)  eucalyptus (maximum residue limit and safety security period without restrictions)  bean (maximum residue limit and safety security period without restrictions)  cowpea bean (maximum residue limit and safety security period without restrictions)  pod bean (maximum residue limit and safety security period without restrictions)  fig (maximum residue limit and safety security period without restrictions)  guava (maximum residue limit and safety security period without restrictions)  apple (maximum residue limit and safety security period without restrictions)  papaya (maximum residue limit and safety security period without restrictions)  castor bean (maximum residue limit and safety security period without restrictions)  mango (maximum residue limit and safety security period without restrictions)  quince (maximum residue limit and safety security period without restrictions)  maxixe (maximum residue limit and safety security period without restrictions)  watermelon (maximum residue limit and safety security period without restrictions)  melon (maximum residue limit and safety security period without restrictions)  corn (maximum residue limit and safety security period without restrictions)  strawberry (maximum residue limit and safety security period without restrictions)  turnip (maximum residue limit and safety security period without restrictions)  cucumber (maximum residue limit and safety security period without restrictions)  pear (maximum residue limit and safety security period without restrictions)  peach (maximum residue limit and safety security period without restrictions)  pepper (maximum residue limit and safety security period without restrictions)  green pepper (maximum residue limit and safety security period without restrictions)  jatropha (maximum residue limit and safety security period without restrictions)  okra (maximum residue limit and safety security period without restrictions)  cabbage (maximum residue limit and safety security period without restrictions)  rose (non-food use)  soy (maximum residue limit and safety security period without restrictions)  tomato (maximum residue limit and safety security period without restrictions)  wheat (maximum residue limit and safety security period without restrictions)  grape (maximum residue limit and safety security period without restrictions)</t>
  </si>
  <si>
    <t>G/SPS/N/BRA/1074</t>
  </si>
  <si>
    <t>Draft resolution regarding the active ingredient B41 BOSCALID of the monograph list of active ingredients for pesticides  household cleaning products and wood preservers  published by Resolution - RE n° 165 of 29 August 2003  Brazilian Official Gazette (DOU Diário Oficial da União) of 2 September 2003</t>
  </si>
  <si>
    <t>Foliar application in cultures of chard (11.0mg/kg safety security period of 3 days)  acerola (5.0mg/kg safety security period of 1 day)  lettuce (11.0mg/kg safety security period of 3 days)  on cotton leaves (0.6mg/kg safety security period of 20 days)  common chicory (11.0mg/kg safety security period of 3 days)  garlic (0.05mg/kg safety security period of 7 days)  blackberry (5.0mg/kg safety security period of 1 day)  banana (0.1mg/kg safety security period of 1 day)  potato (0.05mg/kg safety security period of 3 days)  eggplant (0.5mg/kg safety security period of 3 days)  coffee (0.05mg/kg safety security period of 45 days)  onion (0.05mg/kg safety security period of 7 days)  carrot (0.1mg/kg safety security period of 7 days)  chicory (11.0mg/kg safety security period of 3 days)  chrysanthemum (non-food use)  spinach (11.0mg/kg safety security period of 3 days)  bean (0.1mg/kg safety security period of 14 days)  raspberry (5.0mg/kg safety security period of 1 day)  sunflower (0.7mg/kg safety security period of 14 days)  scarlet eggplant (0.5mg/kg safety security period of 3 days)  kiwi fruit (1.0mg/kg safety security period of 7 days)  mango (1.0mg/kg safety security period of 7 days)  passion fruit (1.0mg/kg safety security period of 7 days)  watermelon (0.5mg/kg safety security period of 7 days)  melon (0.5mg/kg safety security period of 7 days)  strawberry (5.0mg/kg safety security period of 1 day)  mustard (11.0mg/kg safety security period of 3 days)  cucumber (0.05mg/kg safety security period of 7 days)  pepper (0.5mg/kg safety security period of 3 days)  green pepper (0.5mg/kg safety security period of 3 days)  okra (0.5mg/kg safety security period of 3 days)  rose (non-food use)  hog plum (5.0mg/kg safety security period of 1 day)  soy (0.01mg/kg safety security period of 28 days)  tomato (0.05mg/kg safety security period of 1 day)  grape (3.0mg/kg safety security period of 21 days).</t>
  </si>
  <si>
    <t>Foliar application in cultures of chard (11.0mg/kg safety security period of 3 days)  acerola (5.0mg/kg safety security period of 1 day)  lettuce (11.0mg/kg safety security period of 3 days)  on cotton leaves (0.6mg/kg safety security period of 20 days)  common chicory (11.0mg/kg safety security period of 3 days)  garlic (0.05mg/kg safety security period of 7 days)  blackberry (5.0mg/kg safety security period of 1 day)  banana (0.1mg/kg safety security period of 1 day)  potato (0.05mg/kg safety security period of 3 days)  eggplant (0.5mg/kg safety security period of 3 days)  coffee (0.05mg/kg safety security period of 45 days)  onion (0.05mg/kg safety security period of 7 days)  carrot (0.1mg/kg safety security period of 7 days)  chicory (11.0mg/kg safety security period of 3 days)  chrysanthemum (non-food use)  spinach (11.0mg/kg safety security period of 3 days)  bean (0.1mg/kg safety security period of 14 days)  raspberry (5.0mg/kg safety security period of 1 day)  sunflower (0.7mg/kg safety security period of 14 days)  scarlet eggplant (0.5mg/kg safety security period of 3 days)  kiwi fruit (1.0mg/kg safety security period of 7 days)  mango (1.0mg/kg safety security period of 7 days)  passion fruit (1.0mg/kg safety security period of 7 days)  watermelon (0.5mg/kg safety security period of 7 days)  melon (0.5mg/kg safety security period of 7 days)  strawberry (5.0mg/kg safety security period of 1 day)  mustard (11.0mg/kg safety security period of 3 days)  cucumber (0.05mg/kg safety security period of 7 days)  pepper (0.5mg/kg safety security period of 3 days)  green pepper (0.5mg/kg safety security period of 3 days)  okra (0.5mg/kg safety security period of 3 days)  rose (non-food use)  hog plum (5.0mg/kg safety security period of 1 day)  soy (0.01mg/kg safety security period of 28 days)  tomato (0.05mg/kg safety security period of 1 day)  grape (3.0mg/kg safety security period of 21 days)</t>
  </si>
  <si>
    <t>G/SPS/N/BRA/1073</t>
  </si>
  <si>
    <t xml:space="preserve">Foliar application in cultures of pineapple (0.7mg/kg safety security period of 7 days)  pumpkin (0.01mg/kg safety security period of 7 days)  zucchini (0.01mg/kg safety security period of 7 days)  chard (0.3mg/kg safety security period of 7 days)  acerola (1.0mg/kg safety security period of 7 days)  watercress (0.3mg/kg safety security period of 7 days)  lettuce (0.3mg/kg safety security period of 7 days)  on cotton leaves (0.1mg/kg safety security period of 30 days)  garlic (0.03mg/kg safety security period of 7 days)  plum (0.2mg/kg safety security period of 15 days)  blackberry (1.0mg/kg safety security period of 7 days)  annonaceae (0.2mg/kg safety security period of 7 days)  rice (0.1mg/kg safety security period of 30 days)  oat (0.3mg/kg safety security period of 14 days)  potato (0.1mg/kg safety security period of 7 days)  eggplant (0.03mg/kg safety security period of 14 days)  beet (0.05mg/kg safety security period of 14 days)  broccoli (0.01mg/kg safety security period of 7 days)  coffee (0.5mg/kg safety security period of 30 days)  sugarcane (0.01mg/kg safety security period of 40 days)  canola (2.0mg/kg safety security period of 7 days)  onion (0.03mg/kg safety security period of 7 days)  rye (0.3mg/kg safety security period of 14 days)  barley (0.3mg/kg safety security period of 14 days)  chicory (0.3mg/kg safety security period of 7 days)  chayote (0.01mg/kg safety security period of 7 days)  citrus (0.2mg/kg safety security period of 15 days)  kale (0.01mg/kg safety security period of 7 days)  Chinese cabbage (0.01mg/kg safety security period of 7 days)  Brussels sprouts (0.01mg/kg safety security period of 7 days)  cauliflower (0.01mg/kg safety security period of 7 days)  cupuacu (0.2mg/kg safety security period of 7 days)  spinach (0.3mg/kg safety security period of 7 days)  tobacco (non-food use)  sesame (2.0mg/kg safety security period of 7 days)  sunflower (2.0mg/kg safety security period of 7 days)  scarlet eggplant (0.03mg/kg safety security period of 14 days)  papaya (0.2mg/kg safety security period of 7 days)  parsnip (0.05mg/kg safety security period of 14 days)  mango (0.7mg/kg safety security period of 7 days)  passion fruit (0.2mg/kg safety security period of 7 days)  quince (0.2mg/kg safety security period of 15 days)  millet (0.1mg/kg safety security period of 45 days)  corn (0.1mg/kg safety security period of 45 days)  strawberry (1.0mg/kg safety security period of 7 days)  mustard (0.3mg/kg safety security period of 7 days)  turnip (0.05mg/kg safety security period of 14 days)  loquat (0.2mg/kg safety security period of 15 days)  cucumber (0.01mg/kg safety security period of 7 days)  pear (0.2mg/kg safety security period of 15 days)  peach (0.2mg/kg safety security period of 15 days)  pepper (0.03mg/kg safety security period of 14 days)  green pepper (0.03mg/kg safety security period of 14 days)  pitanga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(0.3mg/kg safety security period of 14 days)  triticale (0.3mg/kg safety security period of 14 days).   </t>
  </si>
  <si>
    <t>Foliar application in cultures of pineapple (0.7mg/kg safety security period of 7 days)  pumpkin (0.01mg/kg safety security period of 7 days)  zucchini (0.01mg/kg safety security period of 7 days)  chard (0.3mg/kg safety security period of 7 days)  acerola (1.0mg/kg safety security period of 7 days)  watercress (0.3mg/kg safety security period of 7 days)  lettuce (0.3mg/kg safety security period of 7 days)  on cotton leaves (0.1mg/kg safety security period of 30 days)  garlic (0.03mg/kg safety security period of 7 days)  plum (0.2mg/kg safety security period of 15 days)  blackberry (1.0mg/kg safety security period of 7 days)  annonaceae (0.2mg/kg safety security period of 7 days)  rice (0.1mg/kg safety security period of 30 days)  oat (0.3mg/kg safety security period of 14 days)  potato (0.1mg/kg safety security period of 7 days)  eggplant (0.03mg/kg safety security period of 14 days)  beet (0.05mg/kg safety security period of 14 days)  broccoli (0.01mg/kg safety security period of 7 days)  coffee (0.5mg/kg safety security period of 30 days)  sugarcane (0.01mg/kg safety security period of 40 days)  canola (2.0mg/kg safety security period of 7 days)  onion (0.03mg/kg safety security period of 7 days)  rye (0.3mg/kg safety security period of 14 days)  barley (0.3mg/kg safety security period of 14 days)  chicory (0.3mg/kg safety security period of 7 days)  chayote (0.01mg/kg safety security period of 7 days)  citrus (0.2mg/kg safety security period of 15 days)  kale (0.01mg/kg safety security period of 7 days)  Chinese cabbage (0.01mg/kg safety security period of 7 days)  Brussels sprouts (0.01mg/kg safety security period of 7 days)  cauliflower (0.01mg/kg safety security period of 7 days)  cupuacu (0.2mg/kg safety security period of 7 days)  spinach (0.3mg/kg safety security period of 7 days)  tobacco (non-food use)  sesame (2.0mg/kg safety security period of 7 days)  sunflower (2.0mg/kg safety security period of 7 days)  scarlet eggplant (0.03mg/kg safety security period of 14 days)  papaya (0.2mg/kg safety security period of 7 days)  parsnip (0.05mg/kg safety security period of 14 days)  mango (0.7mg/kg safety security period of 7 days)  passion fruit (0.2mg/kg safety security period of 7 days)  quince (0.2mg/kg safety security period of 15 days)  millet (0.1mg/kg safety security period of 45 days)  corn (0.1mg/kg safety security period of 45 days)  strawberry (1.0mg/kg safety security period of 7 days)  mustard (0.3mg/kg safety security period of 7 days)  turnip (0.05mg/kg safety security period of 14 days)  loquat (0.2mg/kg safety security period of 15 days)  cucumber (0.01mg/kg safety security period of 7 days)  pear (0.2mg/kg safety security period of 15 days)  peach (0.2mg/kg safety security period of 15 days)  pepper (0.03mg/kg safety security period of 14 days)  green pepper (0.03mg/kg safety security period of 14 days)  pitanga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(0.3mg/kg safety security period of 14 days)  triticale (0.3mg/kg safety security period of 14 days)</t>
  </si>
  <si>
    <t>G/SPS/N/TUR/65</t>
  </si>
  <si>
    <t>Turkish Food Codex Regulation Amending the Regulation on Classification and Maximum Residue Limits of Pharmacologically Active Substances in Foodstuffs of Animal Origin</t>
  </si>
  <si>
    <t>The purpose of this amendment is to harmonize the latest amendments of European Commission Regulation (EU) No 37/2010 of 22 December 2009 on pharmacologically active substances and their classification regarding maximum residue limits in foodstuffs of animal origin. Amendments: 418/2014  676/2014  677/2014  681/2014  682/2014  683/2014  967/2014  1277/2014  1359/2014  1390/2014  149/2015  150/2015  151/2015  152/2015  394/2015  446/2015  1078/2015  1079/2015  1080/2015 and 1308/2015.</t>
  </si>
  <si>
    <t>Food safety  Human health  Veterinary drugs</t>
  </si>
  <si>
    <t>G/SPS/N/AUS/373/Corr.1</t>
  </si>
  <si>
    <t>Processed foods in general</t>
  </si>
  <si>
    <t>G/SPS/N/TUR/64</t>
  </si>
  <si>
    <t>Turkish Food Codex Communiqué Amending the Communiqué on Plastic Materials and Articles in Contact with Food</t>
  </si>
  <si>
    <t>The purpose of this amendment is to harmonize the latest amendments of European Commission Regulation (EU) No 10/2011 of 14 January 2011 on plastic materials and articles intended to come into contact with food. Amendments: 202/2014/EU and 174/2015/EU</t>
  </si>
  <si>
    <t>Plastic materials and articles in contact with food</t>
  </si>
  <si>
    <t>G/SPS/N/AUS/374</t>
  </si>
  <si>
    <t>Proposal to Amend Standard 1.4.2 of the Australia New Zealand Food Standards Code (3 November 2015 - Proposed amendment (Agricultural and Veterinary Chemicals Code Instrument No. 4 (MRL Standard) Amendment Instrument 2015 (No. 10)))</t>
  </si>
  <si>
    <t>G/SPS/N/AUS/373</t>
  </si>
  <si>
    <t>M1011 Maximum Residue Limits (2015)</t>
  </si>
  <si>
    <t>This Proposal seeks to amend the Australia New Zealand Food Standards Code (Schedule 20 of the revised Code which commences on 1 March 2016) to align maximum residue limits (MRLs) for various agricultural and veterinary chemicals so that they are consistent with other national regulations relating to the safe and effective use of agricultural and veterinary chemicals  and to align certain limits with Codex or trading partner standards relating to residues of agricultural and veterinary chemicals in food. The document includes a summary of the scientific risk assessment and risk assessment methodology.</t>
  </si>
  <si>
    <t>G/SPS/N/SGP/56</t>
  </si>
  <si>
    <t>The Agri-Food and Veterinary Authority of Singapore (AVA) has completed a review of the Food Regulations and proposes the following amendments: a) To include a requirement that products labelled as "organic" (or similar terms) must be certified as organic under an inspection and certification system that complies with the Codex Guidelines for the Production  Processing  Labelling and Marketing of Organically Produced Foods  GL 32-1999  or equivalent  b) To allow the use of the sweetening agent Advantame in food under good manufacturing practice  c) To include "veterinary drugs" under the definition for "Incidental constituents" (Regulation 29)  and to include a definition for "veterinary drugs"  d) To prohibit the import  sale and advertisement of raw milk for direct human consumption  e) To allow the use of Bovine lactoferrin in infant formula  up to a maximum permitted level of 100mg/100ml  f) To allow the use of the generic term "Modified Starches"  if referring to the following modified starches  for labelling purposes: - Dextrin roasted starch  Acid-treated starch  Alkaline-treated starch  Bleached starch  Oxidised starch  Enzyme-treated starch  Monostarch phosphate  Distarch phosphate  Phosphated distarch phosphate  Acetylated distarch phosphate  Starch acetate  Acetylated distarch adipate  Hydroxypropyl starch  Hydroxypropyl distarch phosphate  Starch sodium octenyl succinate  Acetylated oxidised starch  g) To make editorial amendments to existing regulations 9  12  30(3) and 38  to update the terms used  as well as to spell out the provisions in a clearer format.</t>
  </si>
  <si>
    <t>G/SPS/N/EGY/63/Add.1</t>
  </si>
  <si>
    <t xml:space="preserve">Food contaminants </t>
  </si>
  <si>
    <t>G/SPS/N/SAU/180</t>
  </si>
  <si>
    <t>The Kingdom of Saudi Arabia/The Cooperation Council for the Arab States of the Gulf Draft Technical Regulation for: "Cereal Flakes (Breakfast Cereals)"</t>
  </si>
  <si>
    <t>This draft technical regulation concerns the requirements that must be met in cereal flakes (breakfast cereals)  and it does not comprise the corn flakes. It also includes the requirements of packaging  labelling  and test methods.</t>
  </si>
  <si>
    <t>Cereal flakes (breakfast cereals) (ICS Code: 67. 060)</t>
  </si>
  <si>
    <t xml:space="preserve"> HS codes: 1904 </t>
  </si>
  <si>
    <t>Food safety  Human health  Packaging</t>
  </si>
  <si>
    <t>G/SPS/N/PER/623</t>
  </si>
  <si>
    <t xml:space="preserve"> HS codes: 30  21  23  41  97  05  42  43  01  51  02  04  15  16  35 </t>
  </si>
  <si>
    <t>Animal diseases  Animal health  Food safety  Human health  Pests</t>
  </si>
  <si>
    <t>G/SPS/N/EU/149</t>
  </si>
  <si>
    <t>Commission Regulation (EU) 2015/1760 of 1 October 2015 amending Annex I to Regulation (EC) No 1334/2008 of the European Parliament and of the Council as regards removal from the Union list of the flavouring substance p-mentha-1 8-dien-7-al (Text with EEA relevance)</t>
  </si>
  <si>
    <t xml:space="preserve">The Union list of flavourings and source materials is laid down in Annex I to Regulation (EC) No 1334/3008. It was established by Commission Implementing Regulation (EU) No 872/2012 of 1 October 2012 adopting the list of flavouring substances notified in G/SPS/N/EU/13/Add.1 (12 October 2012) which is now amended by this Regulation.  This addendum concerns the removal of the flavouring substance p-mentha-1 8-dien-7-al (FL-no 05.117) from the European Union list of flavourings following the European Food Safety Authority opinion of 24 June 2015 which concluded that p-mentha-1 8-dien-7-al (FL-no 05.117) is genotoxic in vivo and therefore its use as a flavouring substance raises a safety concern.   The measure has been taken in urgency in view of this EFSA assessment.  It is therefore not notified as a draft but as a final measure.   It is submitted for information of our WTO partners.  The EFSA opinion is available as Scientific Opinion on Flavouring Group Evaluation 208 Revision 1 (FGE.208Rev1): Consideration of genotoxicity data on representatives for ten alicyclic aldehydes with the á â-unsaturation in ring/side-chain and precursors from chemical subgroup 2.2 of FGE.19. EFSA Journal 2015 13(7):4173  28 pp. doi:10.2903/j.efsa.2015.4173 Online at: http://www.efsa.europa.eu/efsajournal.  </t>
  </si>
  <si>
    <t>Flavourings  food</t>
  </si>
  <si>
    <t>G/SPS/N/SAU/175</t>
  </si>
  <si>
    <t>The Kingdom of Saudi Arabia/The Cooperation Council for the Arab States of the Gulf Draft Technical Regulation for: "Food packages made of aluminium foil"</t>
  </si>
  <si>
    <t>Food packages made of aluminium foil (ICS Code: 67.250)</t>
  </si>
  <si>
    <t xml:space="preserve"> HS codes: 7607 </t>
  </si>
  <si>
    <t>G/SPS/N/SAU/173</t>
  </si>
  <si>
    <t>The Kingdom of Saudi Arabia/The Cooperation Council for the Arab States of the Gulf Draft Technical Regulation for: "Cocoa Nibs  Cocoa Mass And Cocoa Press Cake"</t>
  </si>
  <si>
    <t>This draft technical regulation applies to cocoa nibs  cocoa mass and cocoa press cake as defined in the text.</t>
  </si>
  <si>
    <t>Cocoa nibs  cocoa mass and cocoa press cake (ICS Code: 67.190)</t>
  </si>
  <si>
    <t>G/SPS/N/KOR/520</t>
  </si>
  <si>
    <t>Proposed Amendments to Standards and Specifications for Foods</t>
  </si>
  <si>
    <t>The proposed amendment seeks to: 1. Revise the list of Raw materials allowed in food and delete the list of Raw materials not allowed in food  2. Newly establish a food type called Milk protein hydrolysate formula for infants and young children  3. Revise the qualitative specification to quantitative specification (not less than the labelled amount) for enzyme foods  4. Newly establish a food type called Honey from sugar-fed honey bees and Honeycomb honey from sugar-fed honey bees. Also  include specifications for carbon isotope ratio for honey products  5. Establish and revise the maximum residue limits for pesticides in foods: - Establish the maximum residue limits for propyrisulfuron and expand the range of target agricultural products for 87 types of pesticides  - Establish the maximum residue limits for spinetoram in livestock products  6. Permit the import of Patagonian toothfish (Dissostichus eleginoides  Dissostichus mawsoni) and revise the raw material requirements for frozen edible fish heads  7. Permit the use of Oak chip (bar) in the manufacturing and processing of fruit wine  8. Delete the standard for sulphur dioxide in dried sugar-preserved (sugaring) food to be consistent with Korea Food Additives Code  9. Revise the general test methods for microorganisms  pesticides  etc. and establish the test methods for sugar content  solid content and carbon isotope ratio.</t>
  </si>
  <si>
    <t>G/SPS/N/SAU/171</t>
  </si>
  <si>
    <t>The Kingdom of Saudi Arabia/The Cooperation Council for the Arab States of the Gulf Draft Technical Regulation for: "Canned sausage"</t>
  </si>
  <si>
    <t>This draft technical regulation applies to Canned sausage made from poultry meat or Lamb or goat or cow or buffalo or camel.</t>
  </si>
  <si>
    <t>Canned sausage (ICS Code: 67.120)</t>
  </si>
  <si>
    <t xml:space="preserve"> HS codes: 1601 </t>
  </si>
  <si>
    <t>G/SPS/N/CAN/945/Add.1</t>
  </si>
  <si>
    <t>Pesticide difenoconazole in or on pome fruit food commodities (ICS Codes: 65.020  65.100  67.040  67.080)</t>
  </si>
  <si>
    <t>G/SPS/N/CAN/942/Add.1</t>
  </si>
  <si>
    <t>Pesticide cyprodinil in or on various food commodities (ICS Codes: 65.020  65.100  67.040  67.080)</t>
  </si>
  <si>
    <t>G/SPS/N/CAN/941/Add.1</t>
  </si>
  <si>
    <t>Pesticide fludioxonil in or on various food commodities (ICS Codes: 65.020  65.100  67.040  67.080)</t>
  </si>
  <si>
    <t>G/SPS/N/TPKM/375</t>
  </si>
  <si>
    <t>The import of vegetable spray powder shall follow the "Regulations of Inspection of Imported Foods and Related Products" if they are used for food</t>
  </si>
  <si>
    <t>The import of vegetable spray powder shall follow the "Regulations of Inspection of Imported Foods and Related Products" if they are used for food. The importers shall apply for inspection to the Food and Drug Administration  Ministry of Health and Welfare.</t>
  </si>
  <si>
    <t>Vegetable spray powder for food</t>
  </si>
  <si>
    <t xml:space="preserve"> HS codes: 38 </t>
  </si>
  <si>
    <t>G/SPS/N/EGY/72</t>
  </si>
  <si>
    <t>Ministerial Decree No. 536 for the year 2015 concerning the modified  Egyptian Standard ES 273-1/2015 "Sodium Chloride Part 1: Food salt" that supersedes its last edition in 2005 that has already been mandated by Ministerial Decree No. 515/2005</t>
  </si>
  <si>
    <t>This Ministerial Decree provides producers and importers a transitional period of six months to comply with the modified  Egyptian Standard ES 273-1/2015 "Sodium Chloride part 1: Food salt" that supersedes ES No. 273-1/2005 "Sodium Chloride part 1: Food salt" that has already been mandated by Ministerial Decree No. 515/2005. This standard complies with Codex Standard No.150/1985  for food grade salt and B.S No. 998/1990 Amend 2006 "Specification for Vacuum Salt for food use". This standard specifies the essential requirements and descriptive criteria for food grade salt fortified with Iodine.</t>
  </si>
  <si>
    <t xml:space="preserve"> HS codes: 2501 </t>
  </si>
  <si>
    <t>G/SPS/N/EGY/71</t>
  </si>
  <si>
    <t>Ministerial Decree No. 536 for the year 2015 concerning the modified Egyptian Standard ES 2732-1/2015 "Table Salt fortified with iodine and test methods Part 1: Table Salt fortified with iodine" that supersedes its last edition in 2005 that has already been mandated by Ministerial Decree No. 515/2005</t>
  </si>
  <si>
    <t>This Ministerial Decree provides producers and importers a transitional period of six months to comply with the modified  Egyptian Standard Egyptian Standard ES 2732-1/2015 "Table Salt fortified with iodine and test methods Part 1: Table Salt fortified with iodine" (10 pages  Arabic) that supersedes  its last edition in 2005 that has already been mandated by Ministerial Decree No. 515/2005.  This standard complies with Codex Standard No. 156/1985 (Amend 1  1999 Amend 2  2012) for food grade salt and B.S No. 998/1990 Amend 2006  "Specification for Vacuum Salt for food use". This standard specifies the essential requirements and descriptive criteria  for food grade salt fortified with Iodine.</t>
  </si>
  <si>
    <t>G/SPS/N/AUS/372</t>
  </si>
  <si>
    <t>Proposal to Amend Standard 1.4.2 of the Australia New Zealand Food Standards Code (6 October 2015 - Proposed amendment (Agricultural and Veterinary Chemicals Code Instrument No. 4 (MRL Standard) Amendment Instrument 2015 (No. 9)))</t>
  </si>
  <si>
    <t>G/SPS/N/NZL/525</t>
  </si>
  <si>
    <t>Importing Food - Food Notice</t>
  </si>
  <si>
    <t>The Food Act 2014 provides that importers of food must be registered and requires that the manner of registration be specified by notice  the proposed notice will do this.  Regulations to be made under the Food Act will set out two categories of imported food that may require written clearance for entry into New Zealand. These being:  a) High Regulatory Interest Food   imported food that presents an increased risk to human health based on the foods inherent nature and hazards associated with it  the nature of its processing or handling  or the nature of the food safety controls in the country of origin  b) Increased Regulatory Interest Food  imported food for which there is some uncertainty or concern about the risk to the safety and suitability of the food. The proposed notice sets out which foods are considered High Regulatory Interest and Increased Regulatory Interest. For each food the requirements and mechanisms for clearance are also set out.  Regulations to be made under the Food Act will also set out a requirement that when imported food is required to be tested for clearance the testing must be completed by an approved laboratory. The Act requires laboratories to be approved by notice. The proposed notice therefore approves laboratories for testing of imported food.</t>
  </si>
  <si>
    <t>Food imported for sale in New Zealand as per the attached list of tariff numbers</t>
  </si>
  <si>
    <t>G/SPS/N/BRA/1070</t>
  </si>
  <si>
    <t>Draft Resolution regarding the active ingredient T46 TETRACONAZOLE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</si>
  <si>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(0.05mg/kg safety security period of 7 days)  on cotton leaves (0.5mg/kg safety security period of 28 days)  rice (1.0mg/kg safety security period of 42 days)  oat (0.02mg/kg safety security period of 50 days)  banana (0.2mg/kg safety security period of 3 days)  potato (0.01mg/kg safety security period of 14 days)  coffee (0.08mg/kg safety security period of 15 days)  onion (0.01mg/kg safety security period of 7 days)  carrot (0.01mg/kg safety security period of 7 days)  rye (0.02mg/kg safety security period of 50 days)  barley (0.02mg/kg safety security period of 50 days)  chrysanthemum (non-food use)  bean (0.2mg/kg safety security period of 7 days)  gladiolus (non-food use)  apple (0.4mg/kg safety security period of 7 days)  mango (0.1mg/kg safety security period of 7 days)  watermelon (0.4mg/kg safety security period of 7 days)  melon (0.3mg/kg safety security period of 7 days)  corn (0.05mg/kg safety security period of 30 days)  millet (0.05mg/kg safety security period of 30 days)  cucumber (0.01mg/kg safety security period of 7 days)  soy (0.1mg/kg safety security period of 7 days)  sorghum (0.05mg/kg safety security period of 30 days)  tomato (0.2mg/kg safety security period of 7 days)  wheat (0.02mg/kg safety security period of 50 days)  triticale (0.02mg/kg safety security period of 50 days)  grape (0.3mg/kg safety security period of 7 days).</t>
  </si>
  <si>
    <t>Foliar application in cultures of pumpkin (0.05mg/kg safety security period of 7 days)  on cotton leaves (0.5mg/kg safety security period of 28 days)  rice (1.0mg/kg safety security period of 42 days)  oat (0.02mg/kg safety security period of 50 days)  banana (0.2mg/kg safety security period of 3 days)  potato (0.01mg/kg safety security period of 14 days)  coffee (0.08mg/kg safety security period of 15 days)  onion (0.01mg/kg safety security period of 7 days)  carrot (0.01mg/kg safety security period of 7 days)  rye (0.02mg/kg safety security period of 50 days)  barley (0.02mg/kg safety security period of 50 days)  chrysanthemum (non-food use)  bean (0.2mg/kg safety security period of 7 days)  gladiolus (non-food use)  apple (0.4mg/kg safety security period of 7 days)  mango (0.1mg/kg safety security period of 7 days)  watermelon (0.4mg/kg safety security period of 7 days)  melon (0.3mg/kg safety security period of 7 days)  corn (0.05mg/kg safety security period of 30 days)  millet (0.05mg/kg safety security period of 30 days)  cucumber (0.01mg/kg safety security period of 7 days)  soy (0.1mg/kg safety security period of 7 days)  sorghum (0.05mg/kg safety security period of 30 days)  tomato (0.2mg/kg safety security period of 7 days)  wheat (0.02mg/kg safety security period of 50 days)  triticale (0.02mg/kg safety security period of 50 days)  grape (0.3mg/kg safety security period of 7 days)</t>
  </si>
  <si>
    <t>G/SPS/N/BRA/1069</t>
  </si>
  <si>
    <t>Draft Resolution regarding the active ingredient F37 FENPYROXIMATE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</si>
  <si>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(0.1mg/kg safety security period of 3 days)  pineapple (0.1mg/kg safety security period of 3 days)  pumpkin (0.1mg/kg safety security period of 7 days)  zucchini (0.1mg/kg safety security period of 7 days)  acerola (0.01mg/kg safety security period of 5 days)  açaí (0.1mg/kg safety security period of 7 days)  blackberry (0.01mg/kg safety security period of 5 days)  annonaceae (0.1mg/kg safety security period of 3 days)  olive (0.01mg/kg safety security period of 5 days)  eggplant (0.1mg/kg safety security period of 7 days)  cocoa (0.1mg/kg safety security period of 3 days)  coffee (0.05mg/kg safety security period of 15 days)  Brazil nut (0.1mg/kg safety security period of 7 days)  chayote (0.1mg/kg safety security period of 7 days)  citrus (0.5mg/kg safety security period of 15 days)  coconut (0.1mg/kg safety security period of 7 days)  cupuaçu (0.1mg/kg safety security period of 3 days)  palm (0.1mg/kg safety security period of 7 days)  raspberry (0.01mg/kg safety security period of 5 days)  guarana (0.1mg/kg safety security period of 3 days)  scarlet eggplant (0.1mg/kg safety security period of 7 days)  kiwifruit (0.1mg/kg safety security period of 3 days)  macadamia (0.1mg/kg safety security period of 7 days)  apple (0.5mg/kg safety security period of 15 days)  papaya (0.1mg/kg safety security period of 3 days)  mango (0.1mg/kg safety security period of 3 days)  passion fruit (0.1mg/kg safety security period of 3 days)  gherkin (0.1mg/kg safety security period of 7 days)  blueberry (0.01mg/kg safety security period of 5 days)  strawberry (0.01mg/kg safety security period of 5 days)  cucumber (0.1mg/kg safety security period of 7 days)  pepper (0.1mg/kg safety security period of 7 days)  green pepper (0.1mg/kg safety security period of 7 days)  pine fruit (0.1mg/kg safety security period of 7 days)  pitanga fruit (0.01mg/kg safety security period of 5 days)  pupunha (0.1mg/kg safety security period of 7 days)  okra (0.1mg/kg safety security period of 7 days)  pomegranate (0.1mg/kg safety security period of 3 days)  rose (non-food use)  siriguela (0.01mg/kg safety security period of 5 days)  tomato (0.1mg/kg safety security period of 7 days).</t>
  </si>
  <si>
    <t>Foliar application in cultures of avocado (0.1mg/kg safety security period of 3 days)  pineapple (0.1mg/kg safety security period of 3 days)  pumpkin (0.1mg/kg safety security period of 7 days)  zucchini (0.1mg/kg safety security period of 7 days)  acerola (0.01mg/kg safety security period of 5 days)  açaí (0.1mg/kg safety security period of 7 days)  blackberry (0.01mg/kg safety security period of 5 days)  annonaceae (0.1mg/kg safety security period of 3 days)  olive (0.01mg/kg safety security period of 5 days)  eggplant (0.1mg/kg safety security period of 7 days)  cocoa (0.1mg/kg safety security period of 3 days)  coffee (0.05mg/kg safety security period of 15 days)  Brazil nut (0.1mg/kg safety security period of 7 days)  chayote (0.1mg/kg safety security period of 7 days)  citrus (0.5mg/kg safety security period of 15 days)  coconut (0.1mg/kg safety security period of 7 days)  cupuaçu (0.1mg/kg safety security period of 3 days)  palm (0.1mg/kg safety security period of 7 days)  raspberry (0.01mg/kg safety security period of 5 days)  guarana (0.1mg/kg safety security period of 3 days)  scarlet eggplant (0.1mg/kg safety security period of 7 days)  kiwifruit (0.1mg/kg safety security period of 3 days)  macadamia (0.1mg/kg safety security period of 7 days)  apple (0.5mg/kg safety security period of 15 days)  papaya (0.1mg/kg safety security period of 3 days)  mango (0.1mg/kg safety security period of 3 days)  passion fruit (0.1mg/kg safety security period of 3 days)  gherkin (0.1mg/kg safety security period of 7 days)  blueberry (0.01mg/kg safety security period of 5 days)  strawberry (0.01mg/kg safety security period of 5 days)  cucumber (0.1mg/kg safety security period of 7 days)  pepper (0.1mg/kg safety security period of 7 days)  green pepper (0.1mg/kg safety security period of 7 days)  pine fruit (0.1mg/kg safety security period of 7 days)  pitanga fruit (0.01mg/kg safety security period of 5 days)  pupunha (0.1mg/kg safety security period of 7 days)  okra (0.1mg/kg safety security period of 7 days)  pomegranate (0.1mg/kg safety security period of 3 days)  rose (non-food use)  siriguela (0.01mg/kg safety security period of 5 days)  tomato (0.1mg/kg safety security period of 7 days)</t>
  </si>
  <si>
    <t>G/SPS/N/BRA/1067</t>
  </si>
  <si>
    <t>Draft Resolution regarding the active ingredient E19 ETOFENPROX of the monograph list of active ingredients for pesticides  household cleaning products and wood preservers  published by Resolution - RE n° 165 of 29 August 2003  Brazilian Official Gazette (DOU Diário Oficial da União) of 2 September 2003</t>
  </si>
  <si>
    <t>Foliar application on cotton leaves (0.5mg/kg safety security period of 15 days)  rice (3.0mg/kg safety security period of 3 days)  coffee (0.05mg/kg safety security period of 14 days)  citrus (0.2mg/kg safety security period of 7 days)  coconut (0.3mg/kg safety security period of 21 days)  eucalyptus (non-food use)  bean (0.5mg/kg safety security period of 3 days)  tobacco (non-food use)  apple (2.0mg/kg safety security period of 14 days)  mango (0.3mg/kg safety security period of 1 day)  melon (0.1mg/kg safety security period of 1 day)  corn (0.05mg/kg safety security period of 3 days)  peach (0.05mg/kg safety security period of 7 days)  soy (1.0mg/kg safety security period of 15 days)  tomato (0.5mg/kg safety security period of 3 days)  wheat (1.0mg/kg safety security period of 16 days).</t>
  </si>
  <si>
    <t>Foliar application on cotton leaves (0.5mg/kg safety security period of 15 days)  rice (3.0mg/kg safety security period of 3 days)  coffee (0.05mg/kg safety security period of 14 days)  citrus (0.2mg/kg safety security period of 7 days)  coconut (0.3mg/kg safety security period of 21 days)  eucalyptus (non-food use)  bean (0.5mg/kg safety security period of 3 days)  tobacco (non-food use)  apple (2.0mg/kg safety security period of 14 days)  mango (0.3mg/kg safety security period of 1 day)  melon (0.1mg/kg safety security period of 1 day)  corn (0.05mg/kg safety security period of 3 days)  peach (0.05mg/kg safety security period of 7 days)  soy (1.0mg/kg safety security period of 15 days)  tomato (0.5mg/kg safety security period of 3 days)  wheat (1.0mg/kg safety security period of 16 days)</t>
  </si>
  <si>
    <t>G/SPS/N/USA/2754/Add.1</t>
  </si>
  <si>
    <t>G/SPS/N/TPKM/374</t>
  </si>
  <si>
    <t>Import inspection requirement for commodities classified under 13 specific CCC codes if they are used for food purposes</t>
  </si>
  <si>
    <t>Commodities classified under 13 specific CCC codes (including 0106.20.20.10-3 Soft-shell turtle (terrapin)  live  and fry) shall follow the "Regulations of Inspection of Imported Foods and Related Products" if they are used for food purposes. The importers shall apply for inspection to the Food and Drug Administration  Ministry of Health and Welfare.</t>
  </si>
  <si>
    <t>Those food purposes classified under 13 specific CCC codes</t>
  </si>
  <si>
    <t xml:space="preserve"> HS codes: 300450  294200  300490  291429  292990  300390  391290  170250  290532  292320 </t>
  </si>
  <si>
    <t>G/SPS/N/KOR/518</t>
  </si>
  <si>
    <t>Proposed amendments to the Standards and Specifications for Food Utensils  Containers and Packages</t>
  </si>
  <si>
    <t>The proposed draft amendments seek to: 1) Revise the melamine migration limit (30mg/L) to 2.5mg/L in the specification for melamine resins  2) Clarify provisions for processing aids used in manufacturing of food utensils  containers and packages  3) Replace the term of cellophane into regenerated cellulose and clarify provisions for synthetic resin coated paper  4) Improve the principles of test method application  and 5) Improve the migration tests of utensils used for specific purpose.</t>
  </si>
  <si>
    <t>Food utensils  containers and packages</t>
  </si>
  <si>
    <t>G/SPS/N/BRA/1065</t>
  </si>
  <si>
    <t>Draft resolution regarding the active ingredient T28 TRICLOPYR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</si>
  <si>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rice (0.05mg/kg safety security period not determined due to the mode of use)  eucalyptus (non-food use)  pasture (52.0mg/kg safety security period not determined due to the mode of use).</t>
  </si>
  <si>
    <t>Post-emergency application in cultures of rice (0.05mg/kg safety security period not determined due to the mode of use)  eucalyptus (non-food use)  pasture (52.0mg/kg safety security period not determined due to the mode of use)</t>
  </si>
  <si>
    <t>G/SPS/N/BRA/1060</t>
  </si>
  <si>
    <t>Draft resolution regarding the active ingredient M32 METHOXYFENOZIDE of the monograph list of active ingredients for pesticides  household cleaning products and wood preservers  published by Resolution - RE no. 165 of 29 August 2003  Brazilian Official Gazette (DOU Diário Oficial da União) of 2 September 2003</t>
  </si>
  <si>
    <t>Foliar application in cultures of poplar (non-food use)  on cotton leaves (0.5mg/kg safety security period of 7 days)  bean (0.02mg/kg safety security period of 14 days)  apple (0.2mg/kg safety security period of 14 days)  corn (0.5mg/kg safety security period of 7 days)  soy (0.15mg/kg safety security period of 7 days)  tomato (0.1mg/kg safety security period of 1 day)  wheat (0.1mg/kg safety security period of 14 days).</t>
  </si>
  <si>
    <t>Foliar application in cultures of poplar (non-food use)  on cotton leaves (0.5mg/kg safety security period of 7 days)  bean (0.02mg/kg safety security period of 14 days)  apple (0.2mg/kg safety security period of 14 days)  corn (0.5mg/kg safety security period of 7 days)  soy (0.15mg/kg safety security period of 7 days)  tomato (0.1mg/kg safety security period of 1 day)  wheat (0.1mg/kg safety security period of 14 days)</t>
  </si>
  <si>
    <t>G/SPS/N/IDN/104</t>
  </si>
  <si>
    <t>Regulation of the Head of Indonesian National Agency for Drug and Food Control No. 36 of 2013 concerning Maximum Level Requirement of Preservative as Food Additive</t>
  </si>
  <si>
    <t>This regulation specified the maximum level requirement of preservatives as food additive in processed food.  The name of food additives allowed to be used as preservatives are: 1. Sorbic acid and its salts  2. Benzoid acid and its salts  3. Ethyl para-hydroxybenzoate  4. Methyl para-hydroxybenzoate  5. Sulphites  6. Nisin  7. Nitrites  8. Nitrates  9. Propionic acid and its salts  10. Lysozyme hydrochloride. The maximum level requirement of preservatives in each food category is listed in Annex 1 as an integral part of this regulation. The content of preservatives in processed food must be proved by a certificate of analysis. The type and use of preservatives other than those listed in Annex 1 should only be used after obtaining approval from the Head of NADFC. Preservatives and processed food containing preservatives which have a marketing approval must adhere to this regulation no later than one year from the date of enactment. Preservatives and processed food containing preservatives which were submitted prior this regulation will be processed based on the Regulation of the Minister of Health No. 722/Menkes/Per/IX/1988 on Food Additives as amended by the Regulation of the Minister of Health No. 1168/Menkes/Per/X/1999. The validity period of this marketing approval will be one year.</t>
  </si>
  <si>
    <t>Preservative as food additive</t>
  </si>
  <si>
    <t>G/SPS/N/EU/136/Add.1</t>
  </si>
  <si>
    <t xml:space="preserve"> HS codes: 1007  1008  1004  0209  0210  0207  1003  1005  0208  0203  0205  0206  1002  0201  1006  1001  0202  0204 </t>
  </si>
  <si>
    <t>G/SPS/N/BRA/1059</t>
  </si>
  <si>
    <t>Draft resolution regarding the active ingredient F42 FLUXOXYPYR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</si>
  <si>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cotton (0.01mg/kg safety security period not determined due to the mode of use)  eucalyptus (non-food use)  corn (0.01mg/kg safety security period not determined due to the mode of use)  pasture (400.0mg/kg safety security period not determined due to the mode of use)  soy (0.01mg/kg safety security period not determined due to the mode of use).</t>
  </si>
  <si>
    <t>Post-emergency application in cultures of cotton (0.01mg/kg safety security period not determined due to the mode of use)  eucalyptus (non-food use)  corn (0.01mg/kg safety security period not determined due to the mode of use)  pasture (400.0mg/kg safety security period not determined due to the mode of use)  soy (0.01mg/kg safety security period not determined due to the mode of use)</t>
  </si>
  <si>
    <t>G/SPS/N/BRA/1057</t>
  </si>
  <si>
    <t>Draft resolution regarding the active ingredient F20 PHOSPHINE of the monograph list of active ingredients for pesticides  household cleaning products and wood preservers  published by Resolution - RE n° 165 of 29 August 2003  Brazilian Official Gazette (DOU Diário Oficial da União) of 2 September 2003</t>
  </si>
  <si>
    <t>Stored products application in cultures of cotton (0.1mg/kg safety security period of 4 days)  peanut (0.1mg/kg safety security period of 4 days)  rice (0.1mg/kg safety security period of 4 days)  oat (0.1mg/kg safety security period of 4 days)  cocoa (0.01mg/kg safety security period of 4 days)  coffee (0.1mg/kg safety security period of 4 days)  cashew (nut) (0.01mg/kg safety security period of 3 days)  barley (0.1mg/kg safety security period of 4 days)  bean (0.1mg/kg safety security period of 4 days)  tobacco (non-food use)  corn (0.1mg/kg safety security period of 4 days)  soy (0.1mg/kg safety security period of 3 days)  sorghum (0.1mg/kg safety security period of 4 days)  wheat (0.1mg/kg safety security of 4 days). Trunk application in cultures of citrus (maximum residue limit and safety security period not determined due to the mode of use).</t>
  </si>
  <si>
    <t>G/SPS/N/TPKM/370</t>
  </si>
  <si>
    <t>Regulations for Pet Food Vendor Registration (Draft)</t>
  </si>
  <si>
    <t>The regulations for pet food vendor registration.</t>
  </si>
  <si>
    <t>Pet food (for dogs and cats)</t>
  </si>
  <si>
    <t>Nigeria</t>
  </si>
  <si>
    <t>G/SPS/N/NGA/13</t>
  </si>
  <si>
    <t>Pesticide Registration Regulations 2005</t>
  </si>
  <si>
    <t>The regulation stipulates that no pesticide shall be manufactured  formulated  imported  exported  advertised  sold or distributed in Nigeria unless it has been registered in accordance with the provisions of these regulations. The regulation sets out procedures for application for the registration  submission of application  issuance of certificate of registration and penalties.</t>
  </si>
  <si>
    <t>Any chemical substance or mixture of substances intended for preventing  destroying  repelling or mitigating the effect of any pests of plants and animal and shall include: herbicides  insecticides  rodenticides  fungicides  molluscides  nematocides  repellants  attractants  insect growth regulators used in agriculture  public health  horticulture  food storage or a chemical substance used for similar purpose  HS Code: 3808.</t>
  </si>
  <si>
    <t xml:space="preserve"> HS codes: 3808 </t>
  </si>
  <si>
    <t>Protect humans from animal/plant pest or disease</t>
  </si>
  <si>
    <t>Animal diseases  Human health  Pesticides  Pests  Plant diseases</t>
  </si>
  <si>
    <t>G/SPS/N/NGA/11</t>
  </si>
  <si>
    <t>Pre-Packaged Food (Labelling) Regulations 2005</t>
  </si>
  <si>
    <t>Pre-Packaged Food (Labelling) Regulations 2005 prohibits sales of unlabelled pre-packaged food intended for sale to consumer. It also declares that pre-packaged food should not be falsely described and must bear certain information that depicts the exact name of the food or coined/fanciful name that is not misleading. It stipulates that label of pre-packaged food must declare list of ingredients  date marking instructions  batch number  storage conditions  net content  name  address and country of manufacturer  trademark and NAFDAC Registration Number. The label of Pre-packaged food must be clear  legible and in English Language. The Regulations stipulates penalties for violators. It contains interpretation of sensitive terms and two schedules: Schedule one is the classes of food while schedule 2 contains Classes of Food additives. This Regulation repealed the Pre-Packaged Food (Labelling) Regulations 1995.</t>
  </si>
  <si>
    <t>All pre-packaged food items intended for sale to consumers.</t>
  </si>
  <si>
    <t>G/SPS/N/NGA/14</t>
  </si>
  <si>
    <t>Food Additives regulation 2005</t>
  </si>
  <si>
    <t>The regulation requires that no person shall manufacture  import  export  distribute  advertise  display for sale or sell any substance or mixture of substances for use as a food additive  unless the label carries a quantitative statement of the amount of each additive present  or carries a complete list of food additives present in descending order of their proportions  including directions for their use which  if followed  shall produce a food that shall not contain such additives in excess of the amount prescribed in the Codex standards for food additives. It prohibits the sale of food containing non-permitted food additives. It also prescribes penalties for violation.</t>
  </si>
  <si>
    <t>G/SPS/N/USA/2594/Add.1</t>
  </si>
  <si>
    <t>Animal feed and pet food</t>
  </si>
  <si>
    <t xml:space="preserve"> HS codes: 05  01 </t>
  </si>
  <si>
    <t>G/SPS/N/USA/2508/Add.3</t>
  </si>
  <si>
    <t>Human food under the jurisdiction of the US Food and Drug Administration. HS Code(s):  07  08  03  04  09  10  11  12  15  16  17  18  19  20  21  22</t>
  </si>
  <si>
    <t xml:space="preserve"> HS codes: 12  08  04  17  18  22  09  20  10  19  11  21  16  15  07  03 </t>
  </si>
  <si>
    <t>G/SPS/N/KOR/517</t>
  </si>
  <si>
    <t>Proposed amendments to the Standards and Specifications for Functional Health Foods</t>
  </si>
  <si>
    <t>The proposed amendments are seek to:  - Establish standards and specifications for each functional ingredient: 26 functional ingredients such as sardine peptide  extract of Angelicagigas Nakai roots  oil extract of greens-shelled mussel  etc   - Establish test methods for functional ingredients: 33 test methods such as Dicyandiamide  Dihydrotriazine  valine-tyrosine  etc.</t>
  </si>
  <si>
    <t>Functional health food</t>
  </si>
  <si>
    <t>G/SPS/N/NGA/10</t>
  </si>
  <si>
    <t>Processed Food Registration Regulations 2005</t>
  </si>
  <si>
    <t>The Processed Food Registration Regulations 2005 covers the registration of every processed food manufactured  imported  exported  advertised  sold or distributed in Nigeria. It also prescribes the application for registration  establishment inspection  submission of notarized declaration  issuance of certificate of registration and the demand for certificate of registration in respect of any processed food imported. It prescribes the prohibition  penalties and forfeiture to the agency of the violating products and accessories</t>
  </si>
  <si>
    <t>Every processed food manufactured  imported  exported  advertised  sold or distributed in Nigeria</t>
  </si>
  <si>
    <t>G/SPS/N/NGA/8</t>
  </si>
  <si>
    <t xml:space="preserve">Marketing of Infant and Young Children Food and other products regulations 2005 </t>
  </si>
  <si>
    <t xml:space="preserve">The National Agency for Food and Drug Administration and Control (NAFDAC) Marketing of Infant and Young Children Food and Other Products Regulations 2005 specifies the application for registration  information and educational materials on infant feeding  restriction regarding information  educational materials and equipment  prohibition of advertisement or promotion of designated products  prohibition of promotion by manufacturers and distributors and labelling of designated products. It prescribes the prohibition  penalties and forfeiture to the agency of the violating products and accessories. </t>
  </si>
  <si>
    <t>Infant formula  follow up formula  any product used for feeding of infant  any product to be fed by use of a feeding bottle  beverages  milk (0402.2110.00)  cereals and other food intended for use by infant and young children (1901.1000.00  2106.9010.000)  feeding bottles (3924.9020.00)  teats (4014.9010.00) and pacifier or products stated to promote breast feeding and such other products as may be specified by NAFDAC</t>
  </si>
  <si>
    <t xml:space="preserve"> HS codes: 401490  040221  210690  392490  190110 </t>
  </si>
  <si>
    <t>G/SPS/N/EU/144</t>
  </si>
  <si>
    <t>Annex to "Draft Commission Regulation amending Annexes II  III  IV and V to Regulation (EC) No 396/2005 of the European Parliament and of the Council as regards maximum residue levels for atrazine and potassium thiocyanate in or on certain products (Text with EEA relevance)"</t>
  </si>
  <si>
    <t>This notified annex to the draft Regulation sets proposed maximum residue levels for atrazine and potassium thiocyanate in Annex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</si>
  <si>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Cereals (HS Codes: 1001  1002  1003  1004  1005  1006  1007  1008)  foodstuffs of animal origin (HS Codes: 0201  0202  0203  0204  0205  0206  0207  0208  0209  0210) and certain products of plant origin  including fruit and vegetables.</t>
  </si>
  <si>
    <t xml:space="preserve"> HS codes: 0205  0202  1004  1005  1003  1007  0203  0208  1008  0210  1002  1001  1006  0207  0201  0204  0206  0209 </t>
  </si>
  <si>
    <t>G/SPS/N/USA/2593/Add.3</t>
  </si>
  <si>
    <t xml:space="preserve"> HS codes: 02  12  11  01 </t>
  </si>
  <si>
    <t>G/SPS/N/USA/2502/Add.6</t>
  </si>
  <si>
    <t xml:space="preserve"> HS codes: 09  20  10  15  19  16  21  11  03  05  07  22  18  04  17  08  12 </t>
  </si>
  <si>
    <t>G/SPS/N/IND/117</t>
  </si>
  <si>
    <t xml:space="preserve">Draft amendment on Food Safety and Standards (Food Products Standards and Food Additives) Regulations  2015  and Food Safety and Standards (Packaging and Labelling) Regulations  2015  dated 30 July 2015 </t>
  </si>
  <si>
    <t>The draft amendment on Food Safety and Standards (Food Products Standards and Food Additives) Regulations  2015  and Food Safety and Standards (packaging and Labelling) Regulations  2015  details the standards of use of Phytosterols as food ingredient. [Food Safety and Standards (Food Product Standards and Food Additives) Regulations  2015: Regulation 3.1.17 and Food Safety and Standards (Packaging and Labelling Regulations  2015: Regulation 2.4.5]</t>
  </si>
  <si>
    <t>Phytosterols as food ingredient</t>
  </si>
  <si>
    <t xml:space="preserve"> HS codes: 04 </t>
  </si>
  <si>
    <t>G/SPS/N/AUS/370</t>
  </si>
  <si>
    <t>Proposal to Amend Standard 1.4.2 of the Australia New Zealand Food Standards Code (8 September 2015 - Proposed amendment (Agricultural and Veterinary Chemicals Code Instrument No. 4 (MRL Standard) Amendment Instrument 2015 (No. 8)))</t>
  </si>
  <si>
    <t>G/SPS/N/IND/112</t>
  </si>
  <si>
    <t>Food Safety and Standard (Contaminants Toxins and Residues) Amendment Regulation  2015 and dated 5 June 2015</t>
  </si>
  <si>
    <t>The Food Safety and Standards (Contaminants  Toxins and Residues) Amendment Regulation  2015  prescribes the limits of heavy metals in food  and food products and the amendment to the standards [Food Safety and Standards (Contaminants  Toxins and Residues) Regulations  2011]</t>
  </si>
  <si>
    <t xml:space="preserve">Food and food products  </t>
  </si>
  <si>
    <t>G/SPS/N/CHN/1001</t>
  </si>
  <si>
    <t>National Food Safety Standard of the P.R.C.: Code of Hygienic Practice for the Storage and Transport of Unprocessed Food Grains</t>
  </si>
  <si>
    <t>This standard applies to the storage and transport of unprocessed food grains.</t>
  </si>
  <si>
    <t>Unprocessed food grains</t>
  </si>
  <si>
    <t xml:space="preserve"> HS codes: 10 </t>
  </si>
  <si>
    <t>G/SPS/N/CHN/999</t>
  </si>
  <si>
    <t>National Food Safety Standard of the P.R.C.: Code of Hygienic Practice for the Production of Puffed Food</t>
  </si>
  <si>
    <t>This standard applies to the production of puffed food.</t>
  </si>
  <si>
    <t>Puffed food</t>
  </si>
  <si>
    <t>G/SPS/N/CHN/995</t>
  </si>
  <si>
    <t>National Food Safety Standard of the P.R.C.: Code of Hygienic Practice for the Production of Canned Foods</t>
  </si>
  <si>
    <t>This standard applies to the production of canned foods</t>
  </si>
  <si>
    <t>Canned Food</t>
  </si>
  <si>
    <t xml:space="preserve"> HS codes: 16  20 </t>
  </si>
  <si>
    <t>G/SPS/N/CHN/993</t>
  </si>
  <si>
    <t xml:space="preserve">National Food Safety Standard of the P.R.C.: Code of Hygienic Practice for the Production of Candy and Chocolate  </t>
  </si>
  <si>
    <t>This standard applies to the production of candy and chocolate.</t>
  </si>
  <si>
    <t xml:space="preserve">Candy and chocolate </t>
  </si>
  <si>
    <t xml:space="preserve"> HS codes: 1806  1704 </t>
  </si>
  <si>
    <t>G/SPS/N/CHN/991</t>
  </si>
  <si>
    <t>National Food Safety Standard of the P.R.C.: Food processing meal</t>
  </si>
  <si>
    <t>This standard applies to food processing meal  and it does not apply to feed meal.</t>
  </si>
  <si>
    <t>Food Processing Meal</t>
  </si>
  <si>
    <t>G/SPS/N/CHN/989</t>
  </si>
  <si>
    <t>National Food Safety Standard of the P.R.C.: Food Additive 2 3 5 6-Tetramethylpyrazine</t>
  </si>
  <si>
    <t>This standard applies to food additive 2 3 5 6-tetramethylpyrazine  using 2 3-diaminobutane and diacetyl  or acetoin and ammonium salt as raw materials. It specifies the technical requirements and testing methods for 2 3 5 6-tetramethylpyrazine.</t>
  </si>
  <si>
    <t>Food additive 2 3 5 6-Tetramethylpyrazine</t>
  </si>
  <si>
    <t>G/SPS/N/CHN/988</t>
  </si>
  <si>
    <t xml:space="preserve">National Food Safety Standard of the P.R.C.: Food Additive 2-Actylthiazole </t>
  </si>
  <si>
    <t>This standard applies to food additive 2-actylthiazole  using 2-halide thiazole as raw material. It specifies the technical requirements and testing methods for 2-actylthiazole.</t>
  </si>
  <si>
    <t>Food additive 2-Actylthiazole</t>
  </si>
  <si>
    <t>G/SPS/N/CHN/987</t>
  </si>
  <si>
    <t>National Food Safety Standard of the P.R.C.: Food Additive Ethyl 5-hydroxyethyl-4-methylthiazole</t>
  </si>
  <si>
    <t>This standard applies to food additive ethyl 5-hydroxyethyl-4-methylthiazole  using 2-acetyl-ã-butyrolactone and carbon disulfide  or methanethioamide and 3-bromo-acetyl-1-propanol as raw materials. It specifies the technical requirements and testing methods for ethyl 5-hydroxyethyl-4-methylthiazole.</t>
  </si>
  <si>
    <t>Food additive Ethyl 5-hydroxyethyl-4-methylthiazole</t>
  </si>
  <si>
    <t>G/SPS/N/CHN/986</t>
  </si>
  <si>
    <t>National Food Safety Standard of the P.R.C.: Food Additive 2 3 5-Trimethylpyrazine</t>
  </si>
  <si>
    <t>This standard applies to the food additive 2 3 5-trimethylpyrazine  using 1 2-diaminopropane and acetoin or diacetyl as raw materials. It specifies the technical requirements and testing methods for 2 3 5-trimethylpyrazine.</t>
  </si>
  <si>
    <t>Food additive 2 3 5-Trimethylpyrazine</t>
  </si>
  <si>
    <t>G/SPS/N/CHN/985</t>
  </si>
  <si>
    <t xml:space="preserve">National Food Safety Standard of the P.R.C.: Food Additive 2 3-Dimethylpyrazine </t>
  </si>
  <si>
    <t>This standard applies to food additive 2 3-dimethylpyrazine  using ethylenediamine and acetoin or diacetyl as raw materials. It specifies the technical requirements and testing methods for 2 3-dimethylpyrazine.</t>
  </si>
  <si>
    <t>Food additive 2 3-Dimethylpyrazine</t>
  </si>
  <si>
    <t>G/SPS/N/CHN/984</t>
  </si>
  <si>
    <t>National Food Safety Standard of the P.R.C.: Food Additive 2-Methylpyrazine</t>
  </si>
  <si>
    <t>This standard applies to the food additive 2-methylpyrazine  using ethylenediamine and epoxypropane or pyruvaldehyde as raw materials. It specifies the technical requirements and testing methods for 2-methylpyrazine.</t>
  </si>
  <si>
    <t>Food additive 2-Methylpyrazine</t>
  </si>
  <si>
    <t>G/SPS/N/CHN/983</t>
  </si>
  <si>
    <t>National Food Safety Standard of the P.R.C.: Food Additive Benzyl benzoate</t>
  </si>
  <si>
    <t>This standard applies to food additive benzyl benzoate  using benzoic acid (or methyl benzoate or ethyl benzoate) and benzyl alcohol  or sodium benzoate and benzyl chloride as raw materials. It specifies the technical requirements and testing methods for benzyl benzoate.</t>
  </si>
  <si>
    <t>Food Additive Benzyl benzoate</t>
  </si>
  <si>
    <t>G/SPS/N/CHN/982</t>
  </si>
  <si>
    <t>National Food Safety Standard of the P.R.C.: Food Additive Ethyl benzoate</t>
  </si>
  <si>
    <t>This standard applies to food additive ethyl benzoate  using benzoic acid and ethanol as raw materials. It specifies the technical requirements and testing methods for ethyl benzoate.</t>
  </si>
  <si>
    <t>Food additive Ethyl benzoate</t>
  </si>
  <si>
    <t>G/SPS/N/CHN/981</t>
  </si>
  <si>
    <t>National Food Safety Standard of the P.R.C.: Food Additive Ethyl isovalerate</t>
  </si>
  <si>
    <t>This standard applies to food additive ethyl isovalerate  using isovaleric acid and ethanol as raw materials. It specifies the technical requirements and testing methods for ethyl isovalerate.</t>
  </si>
  <si>
    <t>Food additive Ethyl isovalerate</t>
  </si>
  <si>
    <t>G/SPS/N/CHN/980</t>
  </si>
  <si>
    <t>National Food Safety Standard of the P.R.C.: Food Additive Butyl butyrate</t>
  </si>
  <si>
    <t>This standard applies to food additive butyl butyrate  using butyric acid and butyl alcohol as raw materials. It specifies the technical requirements and testing methods for butyl butyrate.</t>
  </si>
  <si>
    <t>Food additive Butyl butyrate</t>
  </si>
  <si>
    <t>G/SPS/N/CHN/979</t>
  </si>
  <si>
    <t>National Food Safety Standard of the P.R.C.: Food Additive Benzyl propionate</t>
  </si>
  <si>
    <t>This standard applies to food additive benzyl propionate  using propionic acid and benzyl alcohol as raw materials. It specifies the technical requirements and testing methods for benzyl propionate.</t>
  </si>
  <si>
    <t>Food additive Benzyl propionate</t>
  </si>
  <si>
    <t>G/SPS/N/CHN/978</t>
  </si>
  <si>
    <t>National Food Safety Standard: Food Additive Raspberry ketone [4-(p-Hydroxyphenyl)-2-butanone]</t>
  </si>
  <si>
    <t>This standard applies to food additive raspberry ketone [4-(p-hydroxyphenyl)-2-butanone]  using 4-hydroxy-2-butanone and phenol  or p-hydroxybenzaldehyde (or p-anisaldehyde) and acetone as raw materials. It specifies the technical requirements and testing methods for raspberry ketone.</t>
  </si>
  <si>
    <t>Food additive Raspberry ketone [4-(p-Hydroxyphenyl)-2-butanone]</t>
  </si>
  <si>
    <t>G/SPS/N/CHN/977</t>
  </si>
  <si>
    <t>National Food Safety Standard of the P.R.C.: Food Additive Ethyl vanillin</t>
  </si>
  <si>
    <t>This standard applies to food additive ethyl vanillin  using o- ethoxyphenol and glyoxylic acid as raw materials. It specifies the technical requirements and testing methods for ethyl vanillin.</t>
  </si>
  <si>
    <t>Food additive Ethyl vanillin</t>
  </si>
  <si>
    <t>G/SPS/N/CHN/974</t>
  </si>
  <si>
    <t>National Food Safety Standard of the P.R.C.: Food Additive Ethyl 2-methylpentanoate</t>
  </si>
  <si>
    <t>This standard applies to food additive ethyl 2-methylpentanoate  using 2-methylvaleric acid and ethanol as raw materials. It specifies the technical requirements and testing methods for ethyl 2-methylpentanoate.</t>
  </si>
  <si>
    <t>Food additive Ethyl 2-methylpentanoate</t>
  </si>
  <si>
    <t>G/SPS/N/CHN/973</t>
  </si>
  <si>
    <t>National Food Safety Standard of the P.R.C.: Food Additive Heliotropin (Piperonal)</t>
  </si>
  <si>
    <t>This standard applies to food additive heliotropin (piperonal) using sassafras oil  cinnamomum petrophilum oil  safrole  1 2-methylenedioxybenzene etc. as raw materials. It specifies the technical requirements and testing methods for heliotropin (piperonal).</t>
  </si>
  <si>
    <t>Food additive Heliotropin (Piperonal)</t>
  </si>
  <si>
    <t>G/SPS/N/CHN/972</t>
  </si>
  <si>
    <t>National Food Safety Standard of the P.R.C.: Food Additive Peppermint oil (Mentha piperita L.)</t>
  </si>
  <si>
    <t>This standard applies to food additive peppermint oil obtained from the fresh overground parts of the flowering plant of Mentha piperita L. It specifies the technical requirements and testing methods for peppermint oil (Mentha piperita L.).</t>
  </si>
  <si>
    <t>Food additive Peppermint oil (Mentha piperita L.)</t>
  </si>
  <si>
    <t>G/SPS/N/CHN/971</t>
  </si>
  <si>
    <t>National Food Safety Standard of the P.R.C.: Food Additive Aglaia odorata flower oil</t>
  </si>
  <si>
    <t>This standard applies to the food additive Aglaia odorata flower oil obtained from the fresh or dry flowers of Aglaia odorata. It specifies the technical requirements and testing methods for Aglaia odorata flower oil.</t>
  </si>
  <si>
    <t>Food additive Aglaia odorata flower oil</t>
  </si>
  <si>
    <t>G/SPS/N/CHN/970</t>
  </si>
  <si>
    <t>National Food Safety Standard of the P.R.C.: Food Additive Michelia  alba leaf oil</t>
  </si>
  <si>
    <t>This standard applies to food additive Michelia alba leaf oil obtained from the fresh leaves of Michelia alba. It specifies the technical requirements and testing methods for Michelia alba leaf oil.</t>
  </si>
  <si>
    <t>Food additive Michelia alba leaf oil</t>
  </si>
  <si>
    <t>G/SPS/N/CHN/969</t>
  </si>
  <si>
    <t>National Food Safety Standard of the P.R.C.: Food Additive Michelia  alba flower oil</t>
  </si>
  <si>
    <t>This standard applies to food additive Michelia alba flower oil obtained from the flowers of Michelia alba. It specifies the technical requirements and testing methods for Michelia alba flower oil.</t>
  </si>
  <si>
    <t>Food additive Michelia  alba flower oil</t>
  </si>
  <si>
    <t>G/SPS/N/CHN/968</t>
  </si>
  <si>
    <t>National Food Safety Standard of the P.R.C.: Food Additive Chrysanthemum Hang Zhou flower oil (Dendranthema morifolium or Chrysanthemum morifolium)</t>
  </si>
  <si>
    <t>This standard applies to food additive Chrysanthemum Hang Zhou flower oil obtained from the flowers of Dendranthema morifolium or Chrysanthemum morifolium. It specifies the technical requirements and testing methods for Chrysanthemum Hang Zhou flower oil (Dendranthema morifolium or Chrysanthemum morifolium).</t>
  </si>
  <si>
    <t>Food additive Chrysanthemum Hang Zhou flower oil (Dendranthema morifolium or Chrysanthemum morifolium)</t>
  </si>
  <si>
    <t>G/SPS/N/CHN/967</t>
  </si>
  <si>
    <t>National Food Safety Standard of the P.R.C.: Food Additive Clove bud oil (Eugenia spp.)</t>
  </si>
  <si>
    <t>This standard applies to food additive clove bud oil obtained from the flower buds of Eugenia spp. It specifies the technical requirements and testing methods for clove bud oil (Eugenia spp.).</t>
  </si>
  <si>
    <t>Food additive Clove bud oil (Eugenia spp.)</t>
  </si>
  <si>
    <t>G/SPS/N/CHN/966</t>
  </si>
  <si>
    <t>National Food Safety Standard of the P.R.C.: Food Additive Garlic oil (Allium sativum L.)</t>
  </si>
  <si>
    <t>This standard applies to food additive garlic oil obtained from the crushed bulbs of Allium sativum L. It specifies the technical requirements and testing methods for garlic oil (Allium sativum L.).</t>
  </si>
  <si>
    <t>Food additive Garlic oil (Allium sativum L.)</t>
  </si>
  <si>
    <t>G/SPS/N/CHN/965</t>
  </si>
  <si>
    <t>National Food Safety Standard of the P.R.C.: Food Additive Citronella oil [Cymbopogon nardus (L.) W. Watson var. lenabatu stapf.]</t>
  </si>
  <si>
    <t>This standard applies to food additive citronella oil obtained from the fresh or partly dried aerial parts of Cymbopogon nardus (L.) W. Watson var. lenabatu stapf. It specifies the technical requirements and testing methods for citronella oil (Cymbopogon nardus (L.) W. Watson var. lenabatu stapf.).</t>
  </si>
  <si>
    <t>Food additive Citronella oil (Cymbopogon nardus (L.) W. Watson var. lenabatu stapf.)</t>
  </si>
  <si>
    <t>G/SPS/N/CHN/964</t>
  </si>
  <si>
    <t>National Food Safety Standard of the P.R.C.: Food Additive Tea tree oil (Melaleuca alternifolia)</t>
  </si>
  <si>
    <t>This standard applies to food additive tea tree oil obtained from the foliage and terminal branchlets of Melaleuca alternifolia. It specifies the technical requirements and testing methods for tea tree oil (Melaleuca alternifolia).</t>
  </si>
  <si>
    <t xml:space="preserve">Food additive Tea tree oil (Melaleuca alternifolia) </t>
  </si>
  <si>
    <t>G/SPS/N/CHN/963</t>
  </si>
  <si>
    <t>National Food Safety Standard of the P.R.C.: Food Additive Mustard extract (Mustard oil)  yellow (Brassica spp.)</t>
  </si>
  <si>
    <t>This standard applies to food additive yellow mustard extract (mustard oil) obtained from the seeds of Brassica spp. It specifies the technical requirements and testing methods for mustard extract (mustard oil)  yellow (Brassica spp.).</t>
  </si>
  <si>
    <t xml:space="preserve">Food additive Mustard extract (Mustard oil)  yellow (Brassica spp.) </t>
  </si>
  <si>
    <t>G/SPS/N/CHN/962</t>
  </si>
  <si>
    <t>National Food Safety Standard of the P.R.C.: Food Additive Luohanfruit tincture [Siraitia grosvenorii (Swingle) C.Jeffrey]</t>
  </si>
  <si>
    <t>This standard applies to food additive Luohanfruit tincture obtained from the fruits of Siraitia grosvenorii (Swingle) C.Jeffrey. It specifies the technical requirements and testing methods for Luohanfruit tincture [Siraitia grosvenorii (Swingle) C.Jeffrey].</t>
  </si>
  <si>
    <t>Food additive Luohanfruit tincture (Siraitia grosvenorii (Swingle) C.Jeffrey)</t>
  </si>
  <si>
    <t>G/SPS/N/CHN/961</t>
  </si>
  <si>
    <t>National Food Safety Standard of the P.R.C.: Food Additive Green tea tincture (Thea sinensis or Camellia sinensis)</t>
  </si>
  <si>
    <t>This standard applies to food additive green tea tincture obtained from Thea sinensis or Camellia sinensis. It specifies the technical requirements and testing methods for green tea tincture (Thea sinensis or Camellia sinensis).</t>
  </si>
  <si>
    <t>Food additive Green tea tincture (Thea sinensis or Camellia sinensis)</t>
  </si>
  <si>
    <t>G/SPS/N/CHN/960</t>
  </si>
  <si>
    <t>National Food Safety Standard of the P.R.C.: Food Additive Black tea tincture (Camellia sinensis)</t>
  </si>
  <si>
    <t>This standard applies to food additive black tea tincture obtained from Camellia sinensis. It specifies the technical requirements and testing methods for black tea tincture (Camellia sinensis).</t>
  </si>
  <si>
    <t>Food additive Black tea tincture (Camellia sinensis)</t>
  </si>
  <si>
    <t>G/SPS/N/CHN/959</t>
  </si>
  <si>
    <t>National Food Safety Standard of the P.R.C.: Food Additive Osmanthus fragrans flower absolute</t>
  </si>
  <si>
    <t>This standard applies to food additive Osmanthus fragrans flower absolute obtained from the flowers of Osmanthus fragrans or Osmanthus fragrans flower concrete. It specifies the technical requirements and testing methods for Osmanthus fragrans flower absolute.</t>
  </si>
  <si>
    <t>Food additive Osmanthus fragrans flower absolute</t>
  </si>
  <si>
    <t>G/SPS/N/CHN/958</t>
  </si>
  <si>
    <t>National Food Safety Standard of the P.R.C.: Food Additive Jasminum sambac absolute</t>
  </si>
  <si>
    <t>This standard applies to food additive Jasminum sambac absolute obtained from the flowers of Jasminum sambac or Jasminum sambac concrete. It specifies the technical requirements and testing methods for Jasminum sambac absolute.</t>
  </si>
  <si>
    <t>Food additive Jasminum sambac absolute</t>
  </si>
  <si>
    <t>G/SPS/N/CHN/957</t>
  </si>
  <si>
    <t>National Food Safety Standard of the P.R.C.: Food Additive Rose absolute (Rosa spp.)</t>
  </si>
  <si>
    <t>This standard applies to food additive rose absolute obtained from the flowers of Rosa spp. or rose concrete (Rosa spp.). It specifies the technical requirements and testing methods for rose absolute (Rosa spp.).</t>
  </si>
  <si>
    <t>Food additive Rose absolute (Rosa spp.)</t>
  </si>
  <si>
    <t>G/SPS/N/CHN/956</t>
  </si>
  <si>
    <t>National Food Safety Standard of the P.R.C.: Food Additive Naringin (Citrus paradisi Macf.)</t>
  </si>
  <si>
    <t>This standard applies to food additive naringin obtained from citrus peels. It specifies the technical requirements and testing methods for naringin.</t>
  </si>
  <si>
    <t>Food additive Naringin (Citrus paradisi Macf.)</t>
  </si>
  <si>
    <t>G/SPS/N/CHN/955</t>
  </si>
  <si>
    <t>National Food Safety Standard of the P.R.C.: Food Additive Phloretin</t>
  </si>
  <si>
    <t>This standard applies to food additive phloretin  using phlorizin or trilobatin as raw material. It specifies the technical requirements and testing methods for phloretin.</t>
  </si>
  <si>
    <t xml:space="preserve">Food additive Phloretin </t>
  </si>
  <si>
    <t>G/SPS/N/CHN/954</t>
  </si>
  <si>
    <t>National Food Safety Standard of the P.R.C.: Food Additive Hesperetin</t>
  </si>
  <si>
    <t>This standard applies to food additive hesperetin  using hesperidin as raw material. It specifies the technical requirements and testing methods for hesperetin.</t>
  </si>
  <si>
    <t>Food additive Hesperetin</t>
  </si>
  <si>
    <t>G/SPS/N/CHN/953</t>
  </si>
  <si>
    <t>National Food Safety Standard of the P.R.C.: Food additive sucrose polypropylene ether</t>
  </si>
  <si>
    <t>This standard applies to food additive sucrose polypropylene ether using sucrose as raw material. This standard specifies the technical requirements and determination methods for the food additive sucrose polypropylene ether.</t>
  </si>
  <si>
    <t>Food additive Sucrose polypropylene ether</t>
  </si>
  <si>
    <t>G/SPS/N/CHN/952</t>
  </si>
  <si>
    <t>National Food Safety Standard of the P.R.C.: Food additive n-hexane</t>
  </si>
  <si>
    <t xml:space="preserve">This standard applies to food additive n-hexane obtained from straight run of crude oil by refining  and the major ingredient is n-hexane. It specifies the technical requirements and testing methods for food additive n-hexane. </t>
  </si>
  <si>
    <t>Food additive N-hexane</t>
  </si>
  <si>
    <t>G/SPS/N/CHN/950</t>
  </si>
  <si>
    <t>National Food Safety Standard of the P.R.C.: Food additive Methyl cellulose</t>
  </si>
  <si>
    <t>This standard applies to food additive methyl cellulose prepared from wood pulp or cotton by treatment with alkali and ether  followed by cleaning and drying. This standard specifies the technical requirements and determination methods for the food additive methyl cellulose.</t>
  </si>
  <si>
    <t xml:space="preserve">Food additive Methyl cellulose </t>
  </si>
  <si>
    <t>G/SPS/N/CHN/949</t>
  </si>
  <si>
    <t>National Food Safety Standard of the P.R.C.: Food additive activated carbon (non-wooden activated carbon)</t>
  </si>
  <si>
    <t>This standard applies to food additive activated carbon (non-wooden activated carbon) generated by physical or chemical reaction and using non-wooden activated carbon such as coal  brown coal  peat etc. as raw materials. This standard specifies the technical requirements and determination methods for the food additive activated carbon (non-wooden activated carbon).</t>
  </si>
  <si>
    <t>Food additive activated carbon (non-wooden activated carbon)</t>
  </si>
  <si>
    <t>G/SPS/N/CHN/948</t>
  </si>
  <si>
    <t>National Food Safety Standard of the P.R.C.: Food additive Karaya gum</t>
  </si>
  <si>
    <t xml:space="preserve">This standard applies to food additive Karaya gum that is a dried and smashed exudation from the stems and branches of Sterculia urens Roxburgh and other species of Sterculia. This standard specifies the technical requirements and determination methods for the food additive Karaya gum. </t>
  </si>
  <si>
    <t>Food additive Karaya gum</t>
  </si>
  <si>
    <t>G/SPS/N/CHN/947</t>
  </si>
  <si>
    <t>National Food Safety Standard of the P.R.C.: Food additive Oxystearin</t>
  </si>
  <si>
    <t xml:space="preserve">This standard applies to food additive oxystearin obtained from hydrogenated oils by melting  decoloring  heating and filtering. Food additive oxystearin is a mixture of partial oxidation of stearic acid and other fatty acid glyceride. It specifies the technical requirements and testing methods for food additive oxystearin. </t>
  </si>
  <si>
    <t>Food additive Oxystearin</t>
  </si>
  <si>
    <t>G/SPS/N/CHN/946</t>
  </si>
  <si>
    <t>National Food Safety Standard of the P.R.C.:  Food additive Phytic acid dodecasodium</t>
  </si>
  <si>
    <t>This standard applies to food additive Phytic acid dodecasodium which using rice bran  corn germ as raw material. It specifies the technical requirements and testing methods for Phytic acid dodecasodium.</t>
  </si>
  <si>
    <t>Food additive Phytic acid dodecasodium</t>
  </si>
  <si>
    <t>G/SPS/N/CHN/945</t>
  </si>
  <si>
    <t>National Food Safety Standard of the P.R.C.: Food additive Iron oxide red</t>
  </si>
  <si>
    <t>This standard applies to food additive Iron oxide red using ferrite as raw material  which on two steps of oxidation process and precipitation yields iron oxide. This standard specifies the technical requirements and determination methods for the food additive iron oxide red.</t>
  </si>
  <si>
    <t>Food additive Iron oxide red</t>
  </si>
  <si>
    <t>G/SPS/N/CHN/944</t>
  </si>
  <si>
    <t>National Food Safety Standard of the P.R.C.: Food additive Iron oxide black</t>
  </si>
  <si>
    <t>This standard applies to food additive Iron oxide black produced by air oxidation and using ferrite as raw material. This standard specifies the technical requirements and testing methods for the food additive Iron oxide black.</t>
  </si>
  <si>
    <t>Food additive Iron oxide black</t>
  </si>
  <si>
    <t>G/SPS/N/CHN/943</t>
  </si>
  <si>
    <t>National Food Safety Standard: Food additive mineral oil</t>
  </si>
  <si>
    <t>This standard applies to food additive mineral oil which using crude mineral oil as raw material  obtained through distillation  extraction  crystallization and other refining process  then through further acid purification or catalytic hydrotreating. It stipulates the technical requirements and test methods for products.</t>
  </si>
  <si>
    <t>Food additive Mineral oil</t>
  </si>
  <si>
    <t>G/SPS/N/CHN/942</t>
  </si>
  <si>
    <t>National Food Safety Standard of the P.R.C.: Food Additive Enzyme Preparations Used in Food Processing</t>
  </si>
  <si>
    <t>This standard applies to enzyme preparations used in food processing which be allowed in GB 2760.</t>
  </si>
  <si>
    <t>Food additive enzyme preparations used in food processing</t>
  </si>
  <si>
    <t>G/SPS/N/CHN/941</t>
  </si>
  <si>
    <t>National Food Safety Standard of the P.R.C.: Food nutritional fortification L-Carnitine</t>
  </si>
  <si>
    <t>This standard applies to L-carnitine obtained by reaction of epichlorohydrin and 4-chlorine ethyl acetoacetate. It specifies the technical requirements and testing methods for L-carnitine.</t>
  </si>
  <si>
    <t>Food nutritional fortification L-Carnitine</t>
  </si>
  <si>
    <t>G/SPS/N/CHN/940</t>
  </si>
  <si>
    <t>National Food Safety Standard of the P.R.C.: Food Nutritional Fortification Calcium Citrate</t>
  </si>
  <si>
    <t>This standard applies to calcium citrate obtained by chemical synthesis with citric acid and calcium carbonate (or calcium oxide  calcium hydroxide). It specifies the safety requirements and testing methods for above products.</t>
  </si>
  <si>
    <t>Food nutritional fortification Calcium Citrate</t>
  </si>
  <si>
    <t>G/SPS/N/CHN/939</t>
  </si>
  <si>
    <t>National Food Safety Standard of the P.R.C.: Food Additive Calcium Stearoyl Lactylate</t>
  </si>
  <si>
    <t xml:space="preserve">This standard applies to food additive Calcium stearoyl lactylate formed by the esterification of stearic acid with lactic acid neutralized to the calcium salts. It specifies the technical requirements and testing methods. </t>
  </si>
  <si>
    <t>Food additive Calcium Stearoyl Lactylate</t>
  </si>
  <si>
    <t>G/SPS/N/CHN/976</t>
  </si>
  <si>
    <t>National Food Safety Standard of the P.R.C.: Food Additive Maltol</t>
  </si>
  <si>
    <t>This standard applies to the food additive maltol  using furfural as raw material. It specifies the technical requirements and testing methods for maltol.</t>
  </si>
  <si>
    <t>Food additive Maltol</t>
  </si>
  <si>
    <t>G/SPS/N/CHN/975</t>
  </si>
  <si>
    <t>National Food Safety Standard of the P.R.C.: Food Additive Citronellal</t>
  </si>
  <si>
    <t>This standard applies to food additive citronellal  isolated from citronella oil or lemon eucalyptus oil  or synthesized from citral. It specifies the technical requirements and test methods for citronellal.</t>
  </si>
  <si>
    <t>Food additive Citronellal</t>
  </si>
  <si>
    <t>G/SPS/N/CHN/951</t>
  </si>
  <si>
    <t>National Food Safety Standard of the P.R.C.: Food additive Lysozyme</t>
  </si>
  <si>
    <t>This standard applies to food additive Lysozyme obtained from hen's egg whites  and subsequently processed by extracting and refining. This standard specifies the technical requirements and determination methods for the food additive Lysozyme.</t>
  </si>
  <si>
    <t>Food additive Lysozyme</t>
  </si>
  <si>
    <t>G/SPS/N/CHN/938</t>
  </si>
  <si>
    <t>National Food Safety Standard of the P.R.C.: Food Additive Isomerized Lactose</t>
  </si>
  <si>
    <t>This standard applies to food additive isomerized lactose which using lactose as raw material  obtained under heating condition  with or without alkali isomerization. It stipulates the technical requirements and testing methods of products.</t>
  </si>
  <si>
    <t>Food additive Isomerized Lactose</t>
  </si>
  <si>
    <t>G/SPS/N/CHN/937</t>
  </si>
  <si>
    <t>National Food Safety Standard of the P.R.C.: Food Additive Linseed Gum</t>
  </si>
  <si>
    <t>This standard applies to food additive linseed gum (also known as flaxseed gum) which using seed or seed peel of flax (Linum usitatissimum L.) as raw material  obtained through extraction and refining. The main component is water soluble polysaccharide. It stipulates the technical requirements and testing methods of products.</t>
  </si>
  <si>
    <t xml:space="preserve">Food additive Linseed Gum </t>
  </si>
  <si>
    <t>G/SPS/N/CHN/936</t>
  </si>
  <si>
    <t>National Food Safety Standard of the P.R.C.: Food Additive Lactic Acid</t>
  </si>
  <si>
    <t xml:space="preserve">This standard applies to lactic acid obtained by fermentation. It specifies the safty requirements and testing methods for above products. </t>
  </si>
  <si>
    <t>Food additive Lactic Acid</t>
  </si>
  <si>
    <t>G/SPS/N/CHN/935</t>
  </si>
  <si>
    <t>National Food Safety Standard of the P.R.C.: Food Additive Rosemary Extract</t>
  </si>
  <si>
    <t>This standard applies to food additive rosemary extract obtained from stem and leaf of Rosmarinus officinalis L. by solvents or supercritical carbon dioxide extraction. It specifies the technical requirements and testing methods.</t>
  </si>
  <si>
    <t>Food additive Rosemary Extract</t>
  </si>
  <si>
    <t>G/SPS/N/CHN/934</t>
  </si>
  <si>
    <t>National Food Safety Standard of the P.R.C.: Food Additive Carrageenan</t>
  </si>
  <si>
    <t>This standard applies to food additive carrageenan obtained from Rhodophyceae by water or alkali extraction. It is a mixture of Ê(Kappa)  É(Iota)  ë(Lambda). It specifies the technical requirements and testing methods.</t>
  </si>
  <si>
    <t>Food additive Carrageenan</t>
  </si>
  <si>
    <t>G/SPS/N/CHN/933</t>
  </si>
  <si>
    <t>National Food Safety Standard of the P.R.C.: Food Additive Polyglycerol Esters of Fatty Acids</t>
  </si>
  <si>
    <t>This standard applies to food additive Polyglycerol Esters of Fatty Acids which  used by glycerin  shrinks into polyglycerol or polyglycerol and esterified partly with oils or fatty acids. It may contain a small amount of single  double and three glyceride  free glycerol and polyglycerol  free fatty acid and fatty acid sodium salt. It specifies the technical requirements and testing methods.</t>
  </si>
  <si>
    <t>Food additive Polyglycerol Esters of Fatty Acids</t>
  </si>
  <si>
    <t>G/SPS/N/CHN/932</t>
  </si>
  <si>
    <t xml:space="preserve">National Food Safety Standard of the P.R.C.:  Food Additive Mineral Oil (also known as liquid paraffin) </t>
  </si>
  <si>
    <t>This standard is applied to food additive mineral oil (also known as liquid paraffin) which is made from oil lubricating oil fractions by dewaxing  chemical refining or hydrofining. It specifies the scope  requirements and test methods.</t>
  </si>
  <si>
    <t>Food additive Mineral oil (also known as liquid paraffin)</t>
  </si>
  <si>
    <t>G/SPS/N/NGA/3</t>
  </si>
  <si>
    <t>Non-Nutritive Sweeteners in Food 2005</t>
  </si>
  <si>
    <t>Non-nutritive sweeteners in food 2005 covers the condition for use of non-nutritive sweeteners in food and the label declaration for foods containing non-nutritive sweeteners. It further prescribes prohibitions  penalties and forfeiture for violators of the regulations.</t>
  </si>
  <si>
    <t>Non-nutritive sweeteners in food products</t>
  </si>
  <si>
    <t>G/SPS/N/NGA/2</t>
  </si>
  <si>
    <t xml:space="preserve">Food Fortification Regulations 2005 </t>
  </si>
  <si>
    <t xml:space="preserve">Food Fortification Regulations 2005 specifies the advertising/label declaration of food to which vitamins have been added. It contains the labelling declaration for:  - children's food to which no vitamin has been added  and - vitamin fortification for children under two years. The regulations also cover minimum and maximum quantity of levels of vitamins and minerals which food fortified with vitamins and minerals should contain with respect to the reasonable daily intake of that food. It also specifies the labelling content for vitamins and minerals and packaging requirements. It further prescribes prohibitions  penalties and forfeiture for violators of the regulations. </t>
  </si>
  <si>
    <t>Vitamins used in food fortification (HS Code: 29.36)</t>
  </si>
  <si>
    <t xml:space="preserve"> HS codes: 30  2936 </t>
  </si>
  <si>
    <t>G/SPS/N/NGA/4</t>
  </si>
  <si>
    <t>Food Grade (Table or Cooking) Salt Regulations 2005</t>
  </si>
  <si>
    <t>Food Grade (Table or Cooking Salt) Regulations 2005 specifies the limits of additives of food grade salt as provided in schedule one  and the expected maximum limits of contaminants in food grade salt provided in schedule 2. It also contains provisions for the  labelling and hygiene requirements  of  Food Grade (Table or Cooking Salt). The regulations further prescribe prohibitions  penalties and forfeiture for violators of the regulations.</t>
  </si>
  <si>
    <t xml:space="preserve"> Food grade salt (HS Code: 25)</t>
  </si>
  <si>
    <t xml:space="preserve"> HS codes: 25 </t>
  </si>
  <si>
    <t>G/SPS/N/CHN/931</t>
  </si>
  <si>
    <t>National Food Safety Standard of the P.R.C.: Food Additive Mono- and  Diglycerides of Fatty Acid (Stearic Acid)</t>
  </si>
  <si>
    <t>This standard applies to food additive diglyceryl mono- and ditearate. It specifies the technical requirements and testing methods.</t>
  </si>
  <si>
    <t>Food additive mono- and  diglycerides of fatty acid (stearic acid)</t>
  </si>
  <si>
    <t>G/SPS/N/CHN/930</t>
  </si>
  <si>
    <t>National Food Safety Standard of the P.R.C.:  Food Additive Sulfur Dioxide</t>
  </si>
  <si>
    <t>This standard applies to food additive Sulfur Dioxide made from the burning of sulphur or acidifying sulphite or pyrosulfite. It specifies the requirements and testing methods.</t>
  </si>
  <si>
    <t>Food additive  Sulfur Dioxide</t>
  </si>
  <si>
    <t>G/SPS/N/CHN/921</t>
  </si>
  <si>
    <t>National Food Safety Standard of the P.R.C.: Food Additive Mentha arvensis oil  partially dementholized</t>
  </si>
  <si>
    <t>This standard applies to food additive Mentha arvensis oil  partially dementholized obtained from the Mentha arvensis oil. It specifies the technical requirements and testing methods for Mentha arvensis oil  partially dementholized.</t>
  </si>
  <si>
    <t>Food additive Mentha arvensis oil  partially dementholized</t>
  </si>
  <si>
    <t>G/SPS/N/CHN/913</t>
  </si>
  <si>
    <t>National Food Safety Standard of the P.R.C.: Food Additive Ethyl hexanoate</t>
  </si>
  <si>
    <t>This standard applies to food additive ethyl hexanoate  using hexanoic acid and ethanol as raw materials. It specifies the technical requirements and testing methods for ethyl hexanoate.</t>
  </si>
  <si>
    <t>Food additive Ethyl hexanoate</t>
  </si>
  <si>
    <t>G/SPS/N/TPKM/364</t>
  </si>
  <si>
    <t>The Taiwan Food and Drug Administration (TFDA) is proposing an import inspection requirement on gelatin importation. Commodities used for food purposes and classified under 2 specific CCC codes  CCC3503.00.10.00-4 Gelatin and CCC3503.00.20.00-2 Gelatin derivatives  shall provide health/sanitation certificate issued by the competent authority of the exporting country</t>
  </si>
  <si>
    <t>The Taiwan Food and Drug Administration (TFDA) is proposing an import inspection requirement on gelatin importation. Commodities used for food purposes and classified under two specific CCC codes  CCC3503.00.10.00-4 Gelatin and CCC3503.00.20.00-2 Gelatin derivatives  shall provide health/sanitation certificate issued by the competent authority of the exporting country.</t>
  </si>
  <si>
    <t>CCC3503.00.10.00-4 Gelatin and CCC3503.00.20.00-2 Gelatin derivatives for food</t>
  </si>
  <si>
    <t xml:space="preserve"> HS codes: 35  350300 </t>
  </si>
  <si>
    <t>G/SPS/N/CHN/924</t>
  </si>
  <si>
    <t>National Food Safety Standard of the P.R.C.: Food Additive Cassia oil (Cinnamomum cassia Blume)</t>
  </si>
  <si>
    <t>This standard applies to food additive cassia oil obtained from the leaves and branches of Cinnamomum cassia Blume planted in China. It specifies the technical requirements and testing methods for cassia oil (Cinnamomum cassia Blume).</t>
  </si>
  <si>
    <t>Food additive Cassia oil (Cinnamomum cassia Blume)</t>
  </si>
  <si>
    <t>G/SPS/N/CHN/904</t>
  </si>
  <si>
    <t>National Food Safety Standard of the P.R.C.: Food Additive Sorbitol and Sorbitol Syrup</t>
  </si>
  <si>
    <t>This standard applies to food additive sorbitol syrup  which is prepared by starch milk or starch that made from vegetables like corn  to obtain glucose by hydrolyzation and purification  then hydrogenation with catalyst  refining and concentration. This standard also applies to food additive sorbitol obtained from sorbitol syrup and processed by concentration  drying and sieving  etc. It specifies the technical requirements and testing methods for Sorbitol and Sorbitol Syrup.</t>
  </si>
  <si>
    <t>Food additives Sorbitol and Sorbitol Syrup</t>
  </si>
  <si>
    <t>G/SPS/N/CHN/911</t>
  </si>
  <si>
    <t>National Food Safety Standard: Food Additive Ethyl Butyrate</t>
  </si>
  <si>
    <t>This standard applies to food additive ethyl butyrate  using butyric acid and ethanol as raw materials. It specifies the technical requirements and testing methods for ethyl butyrate.</t>
  </si>
  <si>
    <t>Food additive Ethyl Butyrate</t>
  </si>
  <si>
    <t>G/SPS/N/CHN/923</t>
  </si>
  <si>
    <t>National Food Safety Standard of the P.R.C.: Food Additive l-Carvone</t>
  </si>
  <si>
    <t>This standard applies to food additive l-carvone  using d-limonene or spearmint oil as raw materials. It specifies the technical requirements and testing methods for l-carvone.</t>
  </si>
  <si>
    <t>Food additive l-Carvone</t>
  </si>
  <si>
    <t>G/SPS/N/CHN/920</t>
  </si>
  <si>
    <t>National Food Safety Standard of the P.R.C.: Food Additive Isoamyl isovalerate</t>
  </si>
  <si>
    <t>This standard applies to food additive isoamyl isovalerate  using isovaleric acid and isoamyl alcohol as raw materials. It specifies the technical requirements and testing methods for isoamyl isovalerate.</t>
  </si>
  <si>
    <t>Food additive Isoamyl isovalerate</t>
  </si>
  <si>
    <t>G/SPS/N/CHN/915</t>
  </si>
  <si>
    <t>National Food Safety Standard of the P.R.C.: Food Additive á-Terpineol</t>
  </si>
  <si>
    <t>This standard applies to food additive á-terpineol  using pinene as raw material. It specifies the technical requirements and test methods for á-terpineol.</t>
  </si>
  <si>
    <t>Food additive á-Terpineol</t>
  </si>
  <si>
    <t>G/SPS/N/CHN/927</t>
  </si>
  <si>
    <t>National Food Safety Standard of the P.R.C.: Food Additive Disdium 5'-Ribonucleotides</t>
  </si>
  <si>
    <t>This standard applies to food additive disdium 5'-ribonucleotides obtained from the starch and sugar  which by fermentation or enzymatic hydrolysis  mixed of sodium inosine-5'-monophosphate and sodium guanosine-5'-monophosphate. It specifies the technical requirements and testing methods.</t>
  </si>
  <si>
    <t xml:space="preserve">Food additive Disdium 5'-Ribonucleotides </t>
  </si>
  <si>
    <t>G/SPS/N/CHN/926</t>
  </si>
  <si>
    <t>National Food Safety Standard of the P.R.C.: Food Additive 1-Butanol</t>
  </si>
  <si>
    <t>This standard applies to food additive 1-butanol  produced by fermentation or by organic synthesis using ethylene or propylene as raw materials. It specifies the technical requirements and testing methods for 1-butanol.</t>
  </si>
  <si>
    <t>Food additive 1-Butanol</t>
  </si>
  <si>
    <t>G/SPS/N/CHN/906</t>
  </si>
  <si>
    <t>National Food Safety Standard of the P.R.C.: Food Additive Allyl 3-cyclohexylpropionate</t>
  </si>
  <si>
    <t>This standard applies to food additive allyl 3-cyclohexylpropionate  using cyclohexylpropionic acid or methyl cinnamate and allyl alcohol as raw materials. It specifies the technical requirements and testing methods for allyl 3-cyclohexylpropionate.</t>
  </si>
  <si>
    <t>Food additive Allyl 3-cyclohexylpropionate</t>
  </si>
  <si>
    <t>G/SPS/N/CHN/912</t>
  </si>
  <si>
    <t>National Food Safety Standard of the P.R.C.: Food Additive Isoamyl butyrate</t>
  </si>
  <si>
    <t>This standard applies to food additive isoamyl butyrate  using butyric acid and isoamyl alcohol as raw materials. It specifies the technical requirements and testing methods for isoamyl butyrate.</t>
  </si>
  <si>
    <t>Food additive Isoamyl butyrate</t>
  </si>
  <si>
    <t>G/SPS/N/CHN/910</t>
  </si>
  <si>
    <t>National Food Safety Standard of the P.R.C.: Food Additive Ethyl Propionate</t>
  </si>
  <si>
    <t>This standard applies to food additive ethyl propionate  using propionic acid and ethanol as raw materials. It specifies the technical requirements and testing methods for ethyl propionate.</t>
  </si>
  <si>
    <t>Food additive Ethyl Propionate</t>
  </si>
  <si>
    <t>G/SPS/N/CHN/918</t>
  </si>
  <si>
    <t>National Food Safety Standard of the P.R.C.: Food Additive Benzyl acetate</t>
  </si>
  <si>
    <t>This standard applies to food additive benzyl acetate  using benzyl alcohol or benzyl chloride as raw materials. It specifies the technical requirements and testing methods for benzyl acetate.</t>
  </si>
  <si>
    <t>Food additive Benzyl acetate</t>
  </si>
  <si>
    <t>G/SPS/N/CHN/922</t>
  </si>
  <si>
    <t>National Food Safety Standard of the P.R.C.: Food Additive d-Carvone</t>
  </si>
  <si>
    <t>This standard applies to food additive d-carvone  using l-limonene or caraway oil as raw materials. It specifies the technical requirements and testing methods for d-carvone.</t>
  </si>
  <si>
    <t>Food additive d-Carvone</t>
  </si>
  <si>
    <t>G/SPS/N/CHN/909</t>
  </si>
  <si>
    <t>National Food Safety Standard of the P.R.C.: Food Additive Phenethyl Alcohol</t>
  </si>
  <si>
    <t>This standard applies to food additive phenethyl alcohol  using styrene or benzene and epoxyethane  or cinnamic aldehyde as raw materials. It specifies the technical requirements and testing methods for phenethyl alcohol.</t>
  </si>
  <si>
    <t>Food additive Phenethyl Alcohol</t>
  </si>
  <si>
    <t>G/SPS/N/CHN/905</t>
  </si>
  <si>
    <t>National Food Safety Standard of the P.R.C.: Food Additive Sesbania Gum</t>
  </si>
  <si>
    <t>This standard applies to food additive sesbania gum that is hydrated and crushed from the Sesbania Scop endosperm. It specifies the technical requirements and testing methods for sesbania gum.</t>
  </si>
  <si>
    <t xml:space="preserve">Food additive Sesbania Gum </t>
  </si>
  <si>
    <t>G/SPS/N/CHN/900</t>
  </si>
  <si>
    <t>National Food Safety Standard of the P.R.C.: Food Additive Sodium benzoate</t>
  </si>
  <si>
    <t>This standard applies to food additive sodium benzoate that is produced by benzoic acid  which is catalyzed oxidated from toluene of oil  and sodium hydroxide or sodium bicarbonate from ion exchange membrane process. It specifies the technical requirements and testing methods for sodium benzoate.</t>
  </si>
  <si>
    <t>Food additive Sodium benzoate</t>
  </si>
  <si>
    <t>G/SPS/N/CHN/925</t>
  </si>
  <si>
    <t>National Food Safety Standard of the P.R.C.: Food Additive Ethyl maltol</t>
  </si>
  <si>
    <t>This standard applies to food additive ethyl maltol  using furfural as raw material. It specifies the technical requirements and testing methods for ethyl maltol.</t>
  </si>
  <si>
    <t>Food additive Ethyl maltol</t>
  </si>
  <si>
    <t>G/SPS/N/CHN/919</t>
  </si>
  <si>
    <t>National Food Safety Standard: Food Additive Isoamyl acetate</t>
  </si>
  <si>
    <t>This standard applies to food additive isoamyl acetate  using acetic acid and isoamyl alcohol as raw materials. It specifies the technical requirements and testing methods for isoamyl acetate.</t>
  </si>
  <si>
    <t>Food additive Isoamyl acetate</t>
  </si>
  <si>
    <t>G/SPS/N/CHN/928</t>
  </si>
  <si>
    <t>National Food Safety Standard of the P.R.C.: Food Additive Disodium 5'-Guanylate</t>
  </si>
  <si>
    <t>This standard applies to disodium 5'-guanylate obtained from the starch and sugar  which by fermentation or enzymatic hydrolysis. It specifies the technical requirements and testing methods.</t>
  </si>
  <si>
    <t>Food additive Disodium 5'-Guanylate</t>
  </si>
  <si>
    <t>G/SPS/N/CHN/929</t>
  </si>
  <si>
    <t>National Food Safety Standard of the P.R.C.: Food Additive D-Mannotol</t>
  </si>
  <si>
    <t>This standard applies to food additive D-Mannotol obtained from starch  starch sugar or sucrose. It specifies the technical requirements and testing methods.</t>
  </si>
  <si>
    <t>Food additive D-Mannotol</t>
  </si>
  <si>
    <t>G/SPS/N/CHN/914</t>
  </si>
  <si>
    <t>National Food Safety Standard of the P.R.C.: Food Additive Ethyl lactate</t>
  </si>
  <si>
    <t>This standard applies to food additive ethyl lactate  using lactic acid and ethanol as raw materials. It specifies the technical requirements and testing methods for ethyl lactate.</t>
  </si>
  <si>
    <t>Food additive Ethyl lactate</t>
  </si>
  <si>
    <t>G/SPS/N/CHN/901</t>
  </si>
  <si>
    <t>National Food Safety Standard of the P.R.C.: Food additive benzoic acid</t>
  </si>
  <si>
    <t>This standard applies to food additive benzoic acid that is oxidated with catalyst and refined from toluene derived from oil. It specifies the technical requirements and testing methods for benzoic acid.</t>
  </si>
  <si>
    <t>Food additive Benzoic acid</t>
  </si>
  <si>
    <t>G/SPS/N/CHN/916</t>
  </si>
  <si>
    <t>National Food Safety Standard of the P.R.C.: Food Additive l-Menthol  natural</t>
  </si>
  <si>
    <t>This standard applies to food additive l-menthol  natural  using Mentha arvensis oil as raw materials. It specifies the technical requirements and testing methods for l-menthol  natural.</t>
  </si>
  <si>
    <t>Food additive l-Menthol  natural</t>
  </si>
  <si>
    <t>G/SPS/N/CHN/917</t>
  </si>
  <si>
    <t>National Food Safety Standard of the P.R.C.: Food Additive Geranium oil (Geranium rose oil) (Pelargonium graveolens L'Her)</t>
  </si>
  <si>
    <t>This standard applies to food additive geranium oil (geranium rose oil) obtained from the fresh aerial parts of Pelargonium graveolens L'Her planted in China. It specifies the technical requirements and testing methods for geranium oil (geranium rose oil) (Pelargonium graveolens L'Her).</t>
  </si>
  <si>
    <t>Food additive Geranium oil (Geranium rose oil) (Pelargonium graveolens L'Her)</t>
  </si>
  <si>
    <t>G/SPS/N/CHN/907</t>
  </si>
  <si>
    <t>National Food Safety Standard of the P.R.C.: Food Additive Ethyl Acetate</t>
  </si>
  <si>
    <t>This standard applies to food additive ethyl acetate manufactured by using acetic acid and ethanol as raw materials. It specifies the technical requirements and testing methods for ethyl acetate.</t>
  </si>
  <si>
    <t>Food additive Ethyl Acetate</t>
  </si>
  <si>
    <t>G/SPS/N/CHN/908</t>
  </si>
  <si>
    <t>National Food Safety Standard of the P.R.C.: Food Additive Citral</t>
  </si>
  <si>
    <t>This standard applies to food additive citral  isolated from Litsea cubeba berry oil or lemongrass oil  or synthesized from senecioic acid and 3-methylcrotonaldehyde or dehydrolinalool. It specifies the technical requirements and testing methods for citral.</t>
  </si>
  <si>
    <t>Food additive Citral</t>
  </si>
  <si>
    <t>G/SPS/N/CHN/902</t>
  </si>
  <si>
    <t>National Food Safety Standard of the P.R.C.: Food additive succinylated monoglycerides</t>
  </si>
  <si>
    <t>This standard applies to food additive succinylated monoglycerides produced by the succinylation of a product obtained by the glycerolysis of fats and oils  or by the direct esterification of glycerol with fat-forming fatty acids. It specifies the technical requirements and testing methods for succinylated monoglycerides.</t>
  </si>
  <si>
    <t>Food additive succinylated monoglycerides</t>
  </si>
  <si>
    <t>G/SPS/N/CHN/903</t>
  </si>
  <si>
    <t>National Food Safety Standard of the P.R.C.: Food additive sorbic acid</t>
  </si>
  <si>
    <t>This standard applies to food additive sorbic acid made from crotonaldehyde and acetic acid as raw materials by chemical reaction. It specifies the technical requirements and testing methods for sorbic acid.</t>
  </si>
  <si>
    <t>Food additive Sorbic acid</t>
  </si>
  <si>
    <t>G/SPS/N/CHN/899</t>
  </si>
  <si>
    <t>National Food Safety Standard of the P.R.C.: Food Additive Isomaltulose</t>
  </si>
  <si>
    <t>This standard applies to the food additive of Isomaltulose which use white sugar as raw material by conversion of sucrose isomerase  then by concentration  crystallization  separation.</t>
  </si>
  <si>
    <t>Food additive Isomaltulose</t>
  </si>
  <si>
    <t>G/SPS/N/CHN/898</t>
  </si>
  <si>
    <t>National Food Safety Standard of the P.R.C.: Food Additive Sodium Caseinate</t>
  </si>
  <si>
    <t>This standard is for food additive sodium caseinate which is made from fresh milk off skim  curd with acid point or casein products processed by sodium hydroxide or sodium carbonate  dry processing.</t>
  </si>
  <si>
    <t>Food additive Sodium Caseinate</t>
  </si>
  <si>
    <t>G/SPS/N/CHN/897</t>
  </si>
  <si>
    <t>National Food Safety Standard of the P.R.C.: Food Additives Aluminium Lakes of Sunset Yellow</t>
  </si>
  <si>
    <t>This standard applies to food additives aluminium lakes of sunset yellow prepared from aluminium salt and sunset yellow under aqueous conditions.</t>
  </si>
  <si>
    <t xml:space="preserve">Food additives Aluminium Lakes of Sunset Yellow </t>
  </si>
  <si>
    <t>G/SPS/N/CHN/896</t>
  </si>
  <si>
    <t>National Food Safety Standard of the P.R.C.: Food Additive Aluminium Lakes of Allura Red</t>
  </si>
  <si>
    <t>This standard applies to food additive aluminium lakes of allura red prepared from aluminium salt and allura red under aqueous conditions.</t>
  </si>
  <si>
    <t xml:space="preserve">Food additive Aluminium Lakes of Allura Red </t>
  </si>
  <si>
    <t>G/SPS/N/CHN/895</t>
  </si>
  <si>
    <t>National Food Safety Standard of the P.R.C.: Food Additive Allura Red</t>
  </si>
  <si>
    <t>Allura Red is manufactured by diazotizing 4-amino-5-methoxy-2-methyl-benzene-sulfonic acid using hydrochloric acid and sodium nitrite. The diazo compound is coupled with sodium 6-hydroxy-2-naphtalene sulfonate.</t>
  </si>
  <si>
    <t>Food additive Allura Red</t>
  </si>
  <si>
    <t>G/SPS/N/CHN/894</t>
  </si>
  <si>
    <t>National Food Safety Standard of the P.R.C.: Food Additive Aluminium Lakes of Ponceau 4R</t>
  </si>
  <si>
    <t>This standard applies to food additive aluminium lakes of Ponceau 4R prepared from aluminium salt and Ponceau 4R under aqueous conditions.</t>
  </si>
  <si>
    <t xml:space="preserve">Food additive Aluminium Lakes of Ponceau 4R </t>
  </si>
  <si>
    <t>G/SPS/N/CHN/893</t>
  </si>
  <si>
    <t>National Food Safety Standard of the P.R.C.: Food Additive Ponceau 4R</t>
  </si>
  <si>
    <t>Ponceau 4R is manufactured by diazotizing 4-amino-1-naphthalenesulfonic acid using hydrochloric acid and sodium nitrite. The diazo compound is coupled with 2-Naphthol-6  8-disulfonic acid dipotassium salt.</t>
  </si>
  <si>
    <t>Food additive Ponceau 4R</t>
  </si>
  <si>
    <t>G/SPS/N/CHN/892</t>
  </si>
  <si>
    <t>National Food Safety Standard of the P.R.C.: Food Additives Aluminium Lake of Amaranth</t>
  </si>
  <si>
    <t>This standard applies to food additives aluminium lakes of amaranth prepared by using aluminium salt and amaranth as raw materials under aqueous conditions.</t>
  </si>
  <si>
    <t>Food Additives Aluminium Lake of Amaranth</t>
  </si>
  <si>
    <t>G/SPS/N/CHN/891</t>
  </si>
  <si>
    <t>National Food Safety Standard of the P.R.C.: Food Additives Aluminium Lake of Brilliant Blue</t>
  </si>
  <si>
    <t>This standard applies to food additives aluminium lakes of brilliant blue prepared by using aluminium salt and brilliant blue as raw materials under aqueous conditions.</t>
  </si>
  <si>
    <t xml:space="preserve">Food additives Aluminium Lake of Brilliant Blue </t>
  </si>
  <si>
    <t>G/SPS/N/CHN/890</t>
  </si>
  <si>
    <t>National Food Safety Standard of the P.R.C.: Food Additive Brilliant Blue</t>
  </si>
  <si>
    <t>This standard applies to food additive brilliant blue prepared from 2-Formylbenzenesulfonic acid and N-Ethyl-N-benzylaniline-3-sulfonic acid  processed by condensing and oxidizing.</t>
  </si>
  <si>
    <t>Food additive Brilliant Blue</t>
  </si>
  <si>
    <t>G/SPS/N/CHN/889</t>
  </si>
  <si>
    <t>National Food Safety Standard of the P.R.C.: Food additive Tea polyphenols</t>
  </si>
  <si>
    <t>This standard applies to food additive tea polyphenols which is exacted from the raw material of tea leaf (Camellia Sinensis. L) with the catechin compounds as the main body.</t>
  </si>
  <si>
    <t>Food additive Tea polyphenols</t>
  </si>
  <si>
    <t>G/SPS/N/CHN/888</t>
  </si>
  <si>
    <t>National Food Safety Standard of the P.R.C.: Food Additive Propionic Acid</t>
  </si>
  <si>
    <t>This standard applies to food additive propionic acid. It specifies the technical requirements and testing methods for propionic acid.</t>
  </si>
  <si>
    <t>Food additive Propionic acid</t>
  </si>
  <si>
    <t>G/SPS/N/CHN/887</t>
  </si>
  <si>
    <t>National food safety standard of the P.R.C.: Food Additive Calcium Acetate</t>
  </si>
  <si>
    <t>This standard applies to food additive Calcium Acetate by the reaction of limestone and food additive ice acetic acid. It specifies the technical requirements and testing methods for food additive Calcium Acetate.</t>
  </si>
  <si>
    <t>Food additive Calcium Acetate</t>
  </si>
  <si>
    <t>G/SPS/N/CHN/886</t>
  </si>
  <si>
    <t xml:space="preserve">National Food Safety Standard of the P.R.C.: Food Additive Magnesium Oxide (including heavy and light)   </t>
  </si>
  <si>
    <t xml:space="preserve">This standard applies to food additive light magnesium oxide made from basic magnesium carbonate or magnesium hydroxide by calcination  heavy magnesium oxide made from heavy magnesium carbonate or heavy magnesium hydroxide by calcination. It specifies the technical requirements and testing methods for food additive magnesium oxide. </t>
  </si>
  <si>
    <t>Food additive Magnesium Oxide (including heavy and light)</t>
  </si>
  <si>
    <t>G/SPS/N/CHN/883</t>
  </si>
  <si>
    <t>National Food Safety Standard of the P.R.C.: Food Additive Monascus Red</t>
  </si>
  <si>
    <t>This standard applies to food additive monascus red obtained from rice and soybean  etc  fermented by the culture fluid of Monascus. It specifies the technical requirements and testing methods.</t>
  </si>
  <si>
    <t xml:space="preserve">Food additive Monascus Red </t>
  </si>
  <si>
    <t>G/SPS/N/CHN/884</t>
  </si>
  <si>
    <t>National Food Safety Standard of the P.R.C.: Food Additive â-Cyclodextrin</t>
  </si>
  <si>
    <t>This standard applies to food additive â-cyclodextrin manufactured by the enzymolysis and refinement of starch. It specifies the technical requirements and testing methods.</t>
  </si>
  <si>
    <t>Food additive â-Cyclodextrin</t>
  </si>
  <si>
    <t>G/SPS/N/CHN/885</t>
  </si>
  <si>
    <t>National Food Safety Standard of the P.R.C.: Food Additive Calcium Carbonate</t>
  </si>
  <si>
    <t>This standard applies to food additive calcium carbonate  including the light calcium carbonate produced by precipitation and the heavy calcium carbonate made by crushing limestone  calcite and oyster shell.</t>
  </si>
  <si>
    <t>Food additive calcium carbonate</t>
  </si>
  <si>
    <t>G/SPS/N/TPKM/363</t>
  </si>
  <si>
    <t>Draft of Standards for the Tolerance of Atomic Dust and Radioactivity Contamination in Foods</t>
  </si>
  <si>
    <t>The draft will amend the tolerances of atomic dust and radioactivity contamination in foods and these standards applicable timing.</t>
  </si>
  <si>
    <t>G/SPS/N/TUR/63</t>
  </si>
  <si>
    <t>Turkish Food Codex Communiqué on the methods of sampling and performance criteria for the methods of analysis for the official control of the levels of erucic acid in certain foodstuffs</t>
  </si>
  <si>
    <t xml:space="preserve">This Communiqué establishes the methods for carrying out the sampling and analysis for the official control of the levels of erucic acid set in the Turkish Food Codex Regulation on contaminants in foodstuffs. It also establishes the performance criteria with which the method of analysis used for official control has to comply. </t>
  </si>
  <si>
    <t>Erucic acid in certain foodstuffs  namely: vegetable oils and fats  foods containing added vegetable oils and fats more than 5% and other foodstuffs (with possible risk of erucic acid content)</t>
  </si>
  <si>
    <t xml:space="preserve"> HS codes: 15 </t>
  </si>
  <si>
    <t>G/SPS/N/TPKM/362</t>
  </si>
  <si>
    <t>Import inspection requirement for commodities classified under 75 specific CCC codes if they are used for food or food additives</t>
  </si>
  <si>
    <t xml:space="preserve">Commodities classified under 75 specific CCC codes shall follow the "Regulations of Inspection of Imported Foods and Related Products" if they are used for food or food additives. The importers shall apply for inspection to the Food and Drug Administration  Ministry of Health and Welfare. </t>
  </si>
  <si>
    <t>Those food or food additives purposes classified under 75 specific CCC codes</t>
  </si>
  <si>
    <t xml:space="preserve"> HS codes: 32  29  33  25  38  34  39 </t>
  </si>
  <si>
    <t>G/SPS/N/EGY/63</t>
  </si>
  <si>
    <t xml:space="preserve">Draft Egyptian Standard for Maximum Level for certain Contaminants in Foodstuffs to supersede  ES No. 7136/2010 that has been already mandated by Ministerial Decree No. 266/2011 </t>
  </si>
  <si>
    <t>The draft of the Egyptian Standard for Maximum Level for certain Contaminants in Foodstuffs specifies the general rules of contaminants in food - it  also includes lists for Maximum levels for certain Contaminants in Foodstuffs. It complies with EU Directive No. 1881/2006 "Maximum Levels for certain Contaminants in Foodstuffs".</t>
  </si>
  <si>
    <t>Aflatoxins  Contaminants  Food safety  Human health  Polychlorinated biphenyls  Toxins</t>
  </si>
  <si>
    <t>G/SPS/N/AUS/369</t>
  </si>
  <si>
    <t>Proposal to Amend Standard 1.4.2 of the Australia New Zealand Food Standards Code (11 August 2015 - Proposed amendment (Agricultural and Veterinary Chemicals Code Instrument No. 4 (MRL Standard) Amendment Instrument 2015 (No. 7)))</t>
  </si>
  <si>
    <t>G/SPS/N/KOR/516</t>
  </si>
  <si>
    <t>Enforcement rule of the Functional Health Foods Act</t>
  </si>
  <si>
    <t>The proposed amendments seek to: Specify the list of health claims unallowable as materials or ingredients for functional health foods.</t>
  </si>
  <si>
    <t>Functional health foods</t>
  </si>
  <si>
    <t>G/SPS/N/KOR/515</t>
  </si>
  <si>
    <t>Proposed amendments to the Functional Health Foods Act</t>
  </si>
  <si>
    <t>The proposed amendments seek to: Establish a provision for MFDS to take urgent control measure for safety according to the Food Sanitation Act.</t>
  </si>
  <si>
    <t xml:space="preserve">Functional health foods </t>
  </si>
  <si>
    <t>G/SPS/N/IND/109</t>
  </si>
  <si>
    <t xml:space="preserve">Draft Food Safety and Standard (Food or Health Supplements  Nutraceuticals  Foods for Special Dietary uses  Foods for Special Medical Purposes  Functional Foods  and Novel Foods) Regulations  2015 </t>
  </si>
  <si>
    <t xml:space="preserve">The Draft Food Safety and Standards (Food or Health Supplements  Nutraceuticals  Foods for Special Dietary uses  Foods for Special Medical Purposes  Functional Foods  and Novel Foods) Regulations  2015 details the standards of Nutraceuticals  Functional Foods  Novel Foods and Health Supplements. </t>
  </si>
  <si>
    <t>Standards for Nutraceuticals  Functional Foods  Novel Foods and Health Supplements</t>
  </si>
  <si>
    <t>G/SPS/N/IND/108</t>
  </si>
  <si>
    <t>Draft Food Safety and Standard (Food Products Standards and Food Additives) Amendment Regulation  2015</t>
  </si>
  <si>
    <t>The draft amendment notification of Food Safety and Standards (Food Products Standards and Food Additives) Regulations  2011 details the Standards for Food Additives for use in certain food categories or individual food items. [Food Safety and Standards (Food Products Standards and Food Additives) Regulations  2011  Regulation 3.1 and Appendix A]</t>
  </si>
  <si>
    <t>Standards for Food Additives</t>
  </si>
  <si>
    <t>G/SPS/N/USA/2570/Add.3</t>
  </si>
  <si>
    <t xml:space="preserve"> HS codes: 09  04  20  10  21  15  19  05  07  16  11  18  03  22  12  08  17 </t>
  </si>
  <si>
    <t>G/SPS/N/USA/2570/Add.2</t>
  </si>
  <si>
    <t xml:space="preserve"> HS codes: 08  17  04  12  22  03  18  11  07  05  19  15  16  21  10  20  09 </t>
  </si>
  <si>
    <t>G/SPS/N/RUS/97</t>
  </si>
  <si>
    <t>Draft of the Eurasian Economic Commission Council Decision on adoption of the Order of the Eurasian Economic Union member States cooperation in the field of prevention  diagnostics  localization and elimination of highly contagious  quarantine and zoonotic animal disease foci  and the order for carrying out regionalisation and  compartmentalisation</t>
  </si>
  <si>
    <t>The draft Decision introduces the common order for carrying out regionalisation and compartmentalisation performed by the competent authorities of Eurasian Economic Union member States. The draft is based on the recommendations of OIE Codes. This Order also determines procedures for cooperation between Eurasian Economic Union member States in the field of prevention  diagnostics  localization and elimination of animal disease foci.</t>
  </si>
  <si>
    <t>Animals  products of animal origin  feeds  used tools and equipment which could carry pathogenic organisms to objects subject to veterinary control</t>
  </si>
  <si>
    <t xml:space="preserve"> HS codes: 04  23  01  84  02 </t>
  </si>
  <si>
    <t>Animal diseases  Animal health  Food safety  Human health</t>
  </si>
  <si>
    <t>G/SPS/N/KOR/512</t>
  </si>
  <si>
    <t>This proposal seeks to: a. Establish a four year expiration date for the designation of Foreign Official Laboratories. b. Establish administrative measures for case where laboratory personnel do not fulfil the mandated annual education. c. Establish the legal basis for the operation of Reference Laboratory of Foods and Drugs  so as to provide technical assistance to private laboratories and the final verdict regarding disparate laboratory results. d. Extend the scope of testing laboratories that utilize the MFDS Laboratory Information Management System to all testing laboratories  thereby mandating its use. e. Include the Director General of the National Institute of Food and Drug Safety Evaluation to the scope of authorities that may be commissioned with the authority of the Minister of Ministry of Food and Drug Safety. f. Establish penalties for Testing Laboratories that do not report inappropriate testing results.</t>
  </si>
  <si>
    <t>Testing laboratories (foods  livestock products  drugs  traditional Korean medicinal substances  medical devices  cosmetics)</t>
  </si>
  <si>
    <t>G/SPS/N/EU/130/Add.1</t>
  </si>
  <si>
    <t xml:space="preserve"> HS codes: 0204  0202  1006  1001  0203  0210  0201  0206  1002  0207  0205  1004  1007  1008  1005  1003  0209  0208 </t>
  </si>
  <si>
    <t>G/SPS/N/KOR/511</t>
  </si>
  <si>
    <t>The proposed amendment seeks to: 1. Adopt statistical concepts for sanitary indicative bacteria and food-borne pathogens in 36 food types and vending machine foods (teas  coffees and beverages)  2. Revise the standard of iodine value in high oleic sunflower oil  3. Permit the use of carbon dioxide as filling gas for foods for special dietary uses  4. Establish food type for spirits  5. Establish and revise the maximum residue limits of pesticides in foods:    - Establish the maximum residue limits of valifenalate and expand the range of target agricultural products for 46 types of pesticides     - Establish the definition of maximum residue limits in livestock products     - Establish the analytical method of valifenalate  6. Establish analytical methods for 11 drug components possibly added unlawfully in foods:    - one component of anti-obesity drugs  four components of anti-diabetics drugs and six components of other drugs  7. Modify some terminologies phrases for clear definitions.</t>
  </si>
  <si>
    <t xml:space="preserve"> HS codes: 0901  0902  1512 </t>
  </si>
  <si>
    <t>Bacteria  Contaminants  Food additives  Food safety  Human health  Maximum residue limits (MRLs)  Pesticides  Veterinary drugs</t>
  </si>
  <si>
    <t>G/SPS/N/CAN/945</t>
  </si>
  <si>
    <t>Proposed Maximum Residue Limit: Difenoconazole (PMRL2015-26)</t>
  </si>
  <si>
    <t>The objective of the notified document PMRL2015-26 is to consult on the listed domestic maximum residue limit (MRL) for difenoconazole that has been proposed by the Health Canada's Pest Management Regulatory Agency (PMRA). MRL (ppm) Raw Agricultural Commodity (RAC) and/or Processed Commodity 5.0 Pome fruit (Crop Group 11-09)1 ppm = parts per million 1 This MRL is proposed to replace the established MRL of 1.0 ppm for difenoconazole in pome fruit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</si>
  <si>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Kyrgyz Republic</t>
  </si>
  <si>
    <t>G/SPS/N/KGZ/3</t>
  </si>
  <si>
    <t>Decree of Government of the Kyrgyz Republic "On Approval of Regulation on Procedure of Conducting Sanitary Epidemiological Supervision (Control) of Persons  Vehicles  Goods and Cargo Transported through border point of the Kyrgyz Republic" dated 7 October 2014 N 580</t>
  </si>
  <si>
    <t>The main objective of sanitary epidemiological supervision (control) is to warn import and dissemination of infectious  parasitic and other diseases that are administered by the International health regulations (2005) with respect to persons  transport vehicles  goods and cargo moving across the border points of the Kyrgyz Republic. The current epidemiological situation on quarantine and highly infectious diseases  registration and dissemination of new emerging infectious diseases posing a hazard to the country's population defines the necessity of mobilizing joint efforts of competent bodies on sanitary protection of territory of the Kyrgyz Republic. In view of increased international travels  tourism and trade  migration of population  the need arises for strengthening of sanitary epidemiological supervision (control) at border points.</t>
  </si>
  <si>
    <t>02  03  04  05  07  08  09  10  11  12  13  14  15  16  17  18  19  20  21  22  23  24  25  26  27  28  29  31  32  33  34  35  38  39  40  42  43  44  45  46  48  49  50  51  52  53  54  55  56  57  58  59  60  61  62  63  64  65  68  69  72  73  74  75  76  78  79  80  81  84  85  87  90  94  95</t>
  </si>
  <si>
    <t xml:space="preserve"> HS codes: 74  72  38  25  68  95  27  94  78  87  42  28  22  84  59  79  54  52  12  17  26  08  18  34  11  40  23  53  44  85  62  76  90  73  75  57  58  09  16  14  13  15  64  50  03  46  20  33  10  80  65  19  35  51  60  49  63  69  81  02  04  05  07  61  45  29  43  32  48  31  55  24  56  39  21 </t>
  </si>
  <si>
    <t>G/SPS/N/KGZ/4</t>
  </si>
  <si>
    <t>Decree of Government of the Kyrgyz Republic "On the authorized body in the field of sanitary epidemiological welfare of population of the Kyrgyz Republic" as of 2 October 2014 N 568</t>
  </si>
  <si>
    <t>Document specifies the functions of the Department of Disease Prevention and State Sanitary Epidemiological Supervision of Ministry of Health of the Kyrgyz Republic identified as the authorized body in the field of sanitary epidemiological welfare of population of the Kyrgyz Republic. In particular  the document specifies that the indicated body: - maintain the registry of certificates of state registration of products (goods)  - carry out and coordinate the sanitary quarantine control in respect of persons  vehicles and products (goods) subject to the state sanitary epidemiological supervision (control) at border points of the Kyrgyz Republic  - provide for the state sanitary epidemiological supervision and control of facilities of municipal and household application  food industry  catering  merchandise  water-supply  with harmful working conditions  treatment and preventive and educational institutions  sports  tourist  entertaining  recreational and places of mass recreation  - carry out sanitary epidemiological assessment of conformity or non-conformity of the documents  buildings  constructions  premises  equipment  transport vehicles  environmental and production facilities to technical regulations  including the requirements of the Customs Union's technical regulations  and Uniform sanitary epidemiological and hygienic requirements for goods subject to sanitary epidemiological supervision (control) approved by paragraph 1 of the Decision of Customs Union Commission "On application of sanitary measures in Customs Union" dated 28 May 2010 N 299.</t>
  </si>
  <si>
    <t xml:space="preserve"> HS codes: 21  55  56  39  24  31  48  32  10  43  03  45  61  20  29  60  69  63  81  49  05  51  35  65  80  33  46  50  64  19  15  16  14  13  09  58  73  57  02  75  90  76  85  53  62  44  07  40  04  23  12  11  34  26  17  18  54  59  52  79  84  08  28  42  78  94  87  27  68  95  25  38  22  72  74 </t>
  </si>
  <si>
    <t>G/SPS/N/EU/96/Add.1</t>
  </si>
  <si>
    <t>Food  flavourings</t>
  </si>
  <si>
    <t>G/SPS/N/AUS/365</t>
  </si>
  <si>
    <t>Proposal to Amend Standard 1.4.2 of the Australia New Zealand Food Standards Code (14 July 2015 - Proposed amendment (Agricultural and Veterinary Chemicals Code Instrument No. 4 (MRL Standard) Amendment Instrument 2015 (No. 6)))</t>
  </si>
  <si>
    <t>G/SPS/N/TPKM/359</t>
  </si>
  <si>
    <t>Import inspection requirement for commodities classified under 3 specific CCC codes if they are used for food purposes</t>
  </si>
  <si>
    <t xml:space="preserve">Commodities classified under three specific CCC codes (including 2939.30.10.00-4 Caffeine Anhydrous) shall follow the "Regulations of Inspection of Imported Foods and Related Products" if they are used for food purposes. The importers shall apply for inspection to the Food and Drug Administration  Ministry of Health and Welfare. </t>
  </si>
  <si>
    <t>Those food purposes classified under three specific CCC codes</t>
  </si>
  <si>
    <t xml:space="preserve"> HS codes: 330129  293930 </t>
  </si>
  <si>
    <t>G/SPS/N/CAN/942</t>
  </si>
  <si>
    <t>Proposed Maximum Residue Limit: Cyprodinil (PMRL2015-23)</t>
  </si>
  <si>
    <t>The objective of the notified document PMRL2015-23 is to consult on the listed domestic maximum residue limits (MRLs) for cyprodinil that have been proposed by the Health Canada's Pest Management Regulatory Agency (PMRA).  MRL (ppm)1 Raw Agricultural Commodity (RAC) and/or Processed Commodity 30 Leafy Brassica greens (Crop Subgroup 5B)a 4.0 Green Onion Subgroup (Crop Subgroup 3-07B)b 0.6 Bulb Onion Subgroup (Crop Subgroup 3-07A)c 1 ppm = parts per million a This MRL is proposed to replace the established MRL of 9.0 ppm for cyprodinil in/on mustard greens. b For all crops in this subgroup with the exception of green onions  since an MRL of 4.0 ppm is already established for this commodity. c For all crops in this subgroup with the exception of dry bulb onions  since an MRL of 0.6 ppm is already established for this commodity.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</si>
  <si>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G/SPS/N/CAN/941</t>
  </si>
  <si>
    <t>Proposed Maximum Residue Limit: Fludioxonil (PMRL2015-22)</t>
  </si>
  <si>
    <t>The objective of the notified document PMRL2015-22 is to consult on the listed domestic maximum residue limits (MRLs) for fludioxonil that have been proposed by the Health Canada's Pest Management Regulatory Agency (PMRA).  MRL (ppm) Raw Agricultural Commodity (RAC) and/or Processed Commodity 15 Leafy Brassica greens (Crop Subgroup 5B)a 7.0 Green Onion Subgroup (Crop Subgroup 3-07B)b 0.2 Bulb Onion Subgroup (Crop Subgroup 3-07A)c ppm = parts per million  a This MRL is proposed to replace the established MRL of 8.0 ppm for fludioxonil in/on mustard greens  and the established MRL of 0.01 ppm for fludioxonil in/on broccoli raab  bok choy Chinese cabbages  collards  kales  mustard spinach  and rape leaves. b This MRL is proposed to replace the established MRL of 0.02 ppm for fludioxonil in/on fresh Chinese chive leaves  fresh chive leaves  leeks  tree onion tops  and Welsh onion tops. An MRL of 7.0 ppm is already established for green onions. c This MRL is proposed to replace the established MRL of 0.02 ppm for fludioxonil in/on Chinese onions  garlic  great headed garlic  and potato onions. The established MRL of 0.02 ppm in/on shallots will be expired as it reflects outdated terminology. The MRL of 0.2 ppm in/on shallot bulbs will replace this MRL. An MRL of 0.2 ppm is already established for dry bulb onions.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</si>
  <si>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G/SPS/N/NZL/521</t>
  </si>
  <si>
    <t>Import Health Standard for Natural Sausage Casings</t>
  </si>
  <si>
    <t>Import Health Standard requirements for the importation of eligible natural sausage casings.</t>
  </si>
  <si>
    <t>G/SPS/N/VNM/70</t>
  </si>
  <si>
    <t>Draft of Fortified Food Decree</t>
  </si>
  <si>
    <t>This Decree regulates micronutrient supplementation  food fortification and measures to implement nutrient fortification in foods to prevent micronutrients deficiencies in public health.</t>
  </si>
  <si>
    <t>Micronutrients fortified in foodstuff</t>
  </si>
  <si>
    <t>G/SPS/N/CAN/938/Add.1</t>
  </si>
  <si>
    <t>Food intended for human consumption</t>
  </si>
  <si>
    <t>G/SPS/N/EU/142</t>
  </si>
  <si>
    <t>Annexes to "Draft Commission Regulation amending Annexes II and III to Regulation (EC) No 396/2005 of the European Parliament and of the Council as regards maximum residue levels for boscalid  captan  clothianidin  thiametoxam  folpet and tolclofos-methyl in or on certain products"</t>
  </si>
  <si>
    <t>These notified annexes to the draft Regulation set proposed maximum residue levels (MRLs) for boscalid  captan  clothianidin  thiametoxam  folpet and tolclofos-methyl in Annex 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</si>
  <si>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0210  0206  0203  0202  1006  1002  0209  0204  0208  0205  0207  0201  1001  1003  1005  1004  1007  1008 </t>
  </si>
  <si>
    <t>G/SPS/N/KOR/509</t>
  </si>
  <si>
    <t>The proposed amendment seeks to: 1.  Establish requirements for temporarily permitted raw food materials to be listed on the Standards and Specifications for foods  2. Establish and revise  the maximum residue limits for pesticides in foods: - Establish maximum residue limits for ipfencarbazone  tefuryltrione  triafamone  imazapic and imazapyr and expand the range of target agricultural products to 27 products  - Revise the maximum residue limit for bistrifluron in Korean cabbages and cabbages  3. Revise the names of target foods for the application of veterinary drugs in foods: - Revise meat to muscle for the application of Novobiocin  etc.  and 4. Revise the analytical methods for veterinary drug residues in foods.</t>
  </si>
  <si>
    <t>G/SPS/N/EU/138</t>
  </si>
  <si>
    <t>Commission Regulation (EU) amending Annex I to Regulation (EC) No. 1334/2008 of the European Parliament and of the Council as regards certain flavouring substances</t>
  </si>
  <si>
    <t>The Union list of flavourings and source materials is laid down in Annex I to Regulation (EC) No. 1334/3008. It was established by Commission Implementing Regulation (EU) No. 872/2012 of 1 October 2012 adopting the list of flavouring substances notified in G/SPS/N/EU/13/Add.1 (12 October 2012) which is now amended by the draft "Commission Regulation (EU) amending Annex I to Regulation (EC) No. 1334/2008 of the European Parliament and of the Council as regards certain flavouring substances". This addendum concerns the listing as fully evaluated substances of the following five substances: beta-Isomethylionone (FL No 07.041)  6-Methylhepta-3 5-dien-2-one. (FL No 07.099)  4-Methylpent-3-en-2-on (FL No 07.101)  trans-1-(2 6 6-Trimethyl-1-cyclohexen-1-yl)but-2-en-1-one  (FL No 07.224)  3-[(4-amino-2 2-dioxido-1H-2 1 3-benzothiadiazin-5-yl)oxy]-2 2-dimethyl-N-propylpropanamide  (FL No 16.126)  following their evaluation by the European Food Safety Authority (EFSA). As part of its evaluation  EFSA has made comments on the specifications of two of those substances and therefore some changes in their specifications for these two substances are included in the text. This Regulation lays down conditions of use for substance FL-no 16.126 which relate solely to the use of this substance as a flavouring substance as it could also be added to food for other purposes than flavouring and such uses remain subject to other rules.</t>
  </si>
  <si>
    <t>G/SPS/N/EU/139</t>
  </si>
  <si>
    <t>Commission Regulation (EU) amending Annex I to Regulation (EC) No. 1334/2008 of the European Parliament and of the Council as regards removal from the Union list of certain flavouring substances</t>
  </si>
  <si>
    <t>(EC) No 1334/3008. It was established by Commission Implementing Regulation (EU) No. 872/2012 of 1 October 2012 adopting the list of flavouring substances notified in G/SPS/N/EU/13/Add.1 (12 October 2012) which is now amended by the draft "Commission Regulation (EU) amending Annex I to Regulation (EC) No. 1334/2008 of the European Parliament and of the Council amending Annex I to Regulation (EC) No. 1334/2008 of the European Parliament and of the Council as regards removal from the Union list of certain flavouring substances".  This addendum concerns the withdrawal of the following 5 substances: vetiverol (FL No. 02.214)  vetiveryl acetate (FL No. 09.821)  methyl-2-mercaptopropionate (FL No. 12.266)  2-acetyl-1 4 5 6-tetrahydropyridin (FL No. 14.079) and 2-propionyl pyrroline 1% vegetable oil triglycerides (FL No. 14.168) from the list of authorised flavouring substances.  The European Food Safety Authority has requested additional scientific data to be provided for completion of the evaluation as flavouring substances of vetiverol (FL No. 02.214)  vetiveryl acetate (FL No. 09.821)  2-acetyl-1 4 5 6-tetrahydropyridin (FL No. 14.079)  and 2-propionyl pyrroline 1% vegetable oil triglycerides (FL No. 14.168). The persons responsible for their placing on the market have now withdrawn the application. As regards methyl-2-mercaptopropionate (FL No. 12.266)  the person responsible for placing it on the market has indicated that it no longer supports its use. The measure includes transitional measures.</t>
  </si>
  <si>
    <t>G/SPS/N/VNM/69</t>
  </si>
  <si>
    <t>Draft Circular on the State inspection regulation of imported-exported food under the management of the Ministry of Health.</t>
  </si>
  <si>
    <t>The draft circular mentions: method of inspection  inspected organization  procedure to inspect  fee to inspect and responsibility of inspected organization.</t>
  </si>
  <si>
    <t>Prepackaged food</t>
  </si>
  <si>
    <t xml:space="preserve"> HS codes: 01 </t>
  </si>
  <si>
    <t>G/SPS/N/PHL/244/Add.1</t>
  </si>
  <si>
    <t>HS Codes: 01  02  03  04  07  08  09  10  11  13  15  16  17  18  19  20  21  22  23</t>
  </si>
  <si>
    <t xml:space="preserve"> HS codes: 03  02  18  22  08  17  10  04  09  20  13  01  19  21  15  11  16  23  07 </t>
  </si>
  <si>
    <t>G/SPS/N/TUR/62</t>
  </si>
  <si>
    <t>Turkish Food Codex Communiqué Amending Communiqué on Food Supplements</t>
  </si>
  <si>
    <t>Food supplements</t>
  </si>
  <si>
    <t>G/SPS/N/EU/136</t>
  </si>
  <si>
    <t>Annexes to "Draft Commission Regulation amending Annexes II and III to Regulation (EC) No 396/2005 of the European Parliament and of the Council as regards maximum residue levels for diethofencarb  mesotrione  metosulam  pirimiphos-methyl  propiconazole and spiroxamine in or on certain products (Text with EEA relevance)"</t>
  </si>
  <si>
    <t>These notified annexes to the draft Regulation set proposed maximum residue levels for diethofencarb  mesotrione  metosulam  pirimiphos-methyl  propiconazole and spiroxamine in Annexes II and III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</si>
  <si>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0204  1005  1003  0209  1006  1002  0202  1001  0203  0201  0205  0208  1007  0206  0207  0210  1004  1008 </t>
  </si>
  <si>
    <t>G/SPS/N/SAU/166</t>
  </si>
  <si>
    <t xml:space="preserve"> The Kingdom of Saudi Arabia/The Cooperation Council for the Arab States of the Gulf Draft Technical Regulation for: "Vitamins and Minerals permitted for use in foodstuff"</t>
  </si>
  <si>
    <t>This draft technical regulation applies to Vitamins and Minerals permitted for use in foodstuff.</t>
  </si>
  <si>
    <t>Vitamins and Minerals permitted for use in foodstuff (ICS Code: 67.040)</t>
  </si>
  <si>
    <t>G/SPS/N/SAU/164</t>
  </si>
  <si>
    <t>The Kingdom of Saudi Arabia/The Cooperation Council for the Arab States of the Gulf Draft Technical Regulation for: "Prepared Meat - Poultry Sausage"</t>
  </si>
  <si>
    <t>This draft technical regulation applies to chilled or frozen (cooked and uncooked)  smoked or unsmoked poultry meat sausages  and does not include dried or canned sausages.</t>
  </si>
  <si>
    <t>Meat and meat products (ICS Code: 67.120.10)</t>
  </si>
  <si>
    <t>G/SPS/N/EU/133</t>
  </si>
  <si>
    <t>Annexes to "Draft Commission Regulation amending Annexes II and III to Regulation (EC) No 396/2005 of the European Parliament and of the Council as regards maximum residue levels for chlorpyrifos in or on certain products" (Text with EEA relevance)</t>
  </si>
  <si>
    <t>These notified annex to the draft Regulation set proposed maximum residue levels (MRLs) for chlorpyrifos in Annexes II and III to Regulation (EC) No 396/2005. MRLs for these substances in certain commodities are lowered. Lower MRLs are set after lowering the toxicological reference values for this substance.</t>
  </si>
  <si>
    <t xml:space="preserve"> HS codes: 0204  0209  0202  0210  0206  0207  0203  0201  0208  0205 </t>
  </si>
  <si>
    <t>G/SPS/N/NZL/519</t>
  </si>
  <si>
    <t>Proposals to Amend (No. 1) the New Zealand (Maximum Residue Limits of Agricultural Compounds) Food Standards 2015</t>
  </si>
  <si>
    <t>The document contains technical details on proposals to amend the New Zealand (Maximum Residue Limits of Agricultural Compounds) Food Standards 2014. MPI proposes to add the following new MRLs to the MRL Standards: - 0.01 (*) mg/kg for cyazofamid when used as a fungicide on potatoes  - 0.6 mg/kg for cyprodinil when used as a fungicide on blackcurrants  - 0.8 mg/kg for fludioxonil when used as a fungicide on blackcurrants  - 0.05 mg/kg for fluopyram on grapes  and 0.01 (*) mg/kg on kiwifruit when used as a fungicide  - 0.15 mg/kg for kanamycin in milk when used an antibiotic in dairy cows  and - 0.02(*) mg/kg for spinetoram when used as an insecticide on assorted tropical and subtropical fruits - inedible peel (except kiwifruit). MPI proposes to exempt the following substances from MRLs: - Extracts of Neotyphodium uncinatum strain AR1006 (containing the Loline alkaloids: N-acetylloline  N-acetylnorloline  N-formylloline) when used as an insecticide for food producing plant species  and - Extend the exemption of plant extracts (unrefined) to include extracts from Melaleuca alternifolia (Tea Tree). MPI proposes to make the following amendments to the MRL Standards: - Proposal to delete the MRL for azinphos-methyl  - Amend a typographical error for the MRL of cyprodinil when used on strawberries  - Amend a typographical error in the spelling of fuberidazole  - Proposal to move Pegbovigrastim to Schedule 3  and - Proposal to combine the entry for streptomycin with the entry for dihydrostreptomycin and streptomycin. Note: (*) indicates that the maximum residue limit has been set at or about the limit of analytical quantification.</t>
  </si>
  <si>
    <t>Vegetables  fruit  animal and other food products</t>
  </si>
  <si>
    <t>G/SPS/N/TPKM/351/Add.1</t>
  </si>
  <si>
    <t>G/SPS/N/TPKM/358</t>
  </si>
  <si>
    <t>Import inspection requirement for commodities classified under 14 specific CCC codes if they are used for food purposes</t>
  </si>
  <si>
    <t>Commodities classified under 14 specific CCC codes (including 1702.50.00.00-8 Chemically pure fructose) shall follow the "Regulations of Inspection of Imported Foods and Related Products" if they are used for food purposes. The importers shall apply for inspection to the Food and Drug Administration  Ministry of Health and Welfare.</t>
  </si>
  <si>
    <t>Those food purposes classified under 14 specific CCC codes</t>
  </si>
  <si>
    <t xml:space="preserve"> HS codes: 292990  391290  300390  170250  290532  292320  294200  300450  291429  300490 </t>
  </si>
  <si>
    <t>G/SPS/N/BRA/1052</t>
  </si>
  <si>
    <t>Draft resolution regarding the active ingredient C29 CHLORIMURON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</si>
  <si>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coffee (0.01mg/kg safety security period of 65 days)  citrus (0.01mg/kg safety security period of 65 days)  eucalyptus (non-food use)  pine (non-food use)  soy (0.05mg/kg safety security period of 65 days).</t>
  </si>
  <si>
    <t>Post-emergency application in cultures of coffee (0.01mg/kg safety security period of 65 days)  citrus (0.01mg/kg safety security period of 65 days)  eucalyptus (non-food use)  pine (non-food use)  soy (0.05mg/kg safety security period of 65 days)</t>
  </si>
  <si>
    <t>G/SPS/N/BRA/1049</t>
  </si>
  <si>
    <t>Draft resolution regarding the active ingredient I18 ISOXAFLUTOLE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</si>
  <si>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cotton (0.01mg/kg safety security period of 97 days). Pre-emergency application in cultures of potato (0.01mg/kg safety security period of 70 days)  cassava (0.01mg/kg safety security period not determined due to the mode of use)  corn (0.01mg/kg safety security period not determined due to the mode of use). Pre/Post-emergency application in cultures of sugarcane (0.08mg/kg safety security period not determined due to the mode of use)  eucalyptus (non-food use)  pine (non-food use)  soy (0.02mg/kg safety security period not determined due to the mode of use. Pre-emergency application of weeds and in pre-emergency of soy which is tolerant to isoxaflutole. Premature post-emergency application in varieties of soy which is tolerant to isoxaflutole).</t>
  </si>
  <si>
    <t>G/SPS/N/IND/106</t>
  </si>
  <si>
    <t>Food Safety and Standard (Food Recall Procedures) Regulation  2015 and dated 22 April 2015</t>
  </si>
  <si>
    <t>The draft Food Safety and Standard (Food Recall Procedure) Regulation  2015  details the Procedure for Food Recall. [Food Safety and Standards (Food Recall Procedures) Regulations  2015]</t>
  </si>
  <si>
    <t>Food recall procedure</t>
  </si>
  <si>
    <t>G/SPS/N/AUS/362</t>
  </si>
  <si>
    <t>Proposal to Amend Standard 1.4.2 of the Australia New Zealand Food Standards Code (16 June 2015 - Proposed amendment (Agricultural and Veterinary Chemicals Code Instrument No. 4 (MRL Standard) Amendment Instrument 2015 (No. 5)))</t>
  </si>
  <si>
    <t>Food safety  Human health  Pesticides  Veterinary drugs</t>
  </si>
  <si>
    <t>G/SPS/N/TUR/61</t>
  </si>
  <si>
    <t>Turkish Food Codex Communiqué on Cocoa and chocolate products</t>
  </si>
  <si>
    <t>The purpose of this Communiqué is to determine the features of cocoa and chocolate products (incl. cocoa bean  cocoa nibs  cocoa mass) for their production  preparation  process  conservation  storage  transport in accordance with the technique and hygiene rules of these products.</t>
  </si>
  <si>
    <t>Cocoa and chocolate products</t>
  </si>
  <si>
    <t xml:space="preserve"> HS codes: 18  1806 </t>
  </si>
  <si>
    <t>G/SPS/N/USA/2766</t>
  </si>
  <si>
    <t>Final Determination Regarding Partially Hydrogenated Oils  Notice  Declaratory Order</t>
  </si>
  <si>
    <t>Based on the available scientific evidence and the findings of expert scientific panels  the Food and Drug Administration has made a final determination that there is no longer a consensus among qualified experts that partially hydrogenated oils (PHOs)  which are the primary dietary source of industrially-produced trans fatty acids (IP-TFA) are generally recognized as safe (GRAS) for any use in human food. This action responds  in part  to citizen petitions FDA received  and FDA is basing this determination on available scientific evidence and the findings of expert scientific panels establishing the health risks associated with the consumption of trans fat.</t>
  </si>
  <si>
    <t>HS Code(s): 15  ICS Code(s): 67. Partially hydrogenated oils for use in human food</t>
  </si>
  <si>
    <t>G/SPS/N/USA/2656/Add.1</t>
  </si>
  <si>
    <t>Food in which TBHQ is allowed for use</t>
  </si>
  <si>
    <t>G/SPS/N/BRA/1047</t>
  </si>
  <si>
    <t>Draft resolution regarding the active ingredient D39 DIMETHOMORPH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</si>
  <si>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(0.1mg/kg safety security period of 7 days)  zucchini (0.1mg/kg safety security period of 7 days)  watercress (2.0mg/kg safety security period of 7 days)  lettuce (2.0mg/kg safety security period of 7 days)  garlic (0.2mg/kg safety security period of 14 days)  endive (2.0mg/kg safety security period of 7 days)  potato (0.03mg/kg safety security period of 7 days)  eggplant (0.2mg/kg safety security period of 7 days)  onion (0.2mg/kg safety security period of 14 days)  spinach (2.0mg/kg safety security period of 7 days)  tobacco (non-food use)  guarana (0.7mg/kg safety security period of 7 days)  scarlet eggplant (0.2mg/kg safety security period of 7 days)  papaya (0.7mg/kg safety security period of 7 days)  passion fruit (0.7mg/kg safety security period of 7 days)  melon (0.03mg/kg safety security period of 14 days)  cucumber (0.1mg/kg safety security period of 7 days)  pepper (0.2mg/kg safety security period of 7 days)  green pepper (0.2mg/kg safety security period of 7 days)  rose (non-food use)  arugula (2.0mg/kg safety security period of 7 days)  tomato (0.5mg/kg safety security period of 7 days)  grape (2.0mg/kg safety security period of 21 days)</t>
  </si>
  <si>
    <t>G/SPS/N/TUR/59</t>
  </si>
  <si>
    <t>Turkish Food Codex Communiqué on Amending the Communiqué on Sports Foods</t>
  </si>
  <si>
    <t>The purpose of this Communiqué is to determine the composition of sports foods.</t>
  </si>
  <si>
    <t>Sports foods</t>
  </si>
  <si>
    <t>G/SPS/N/KOR/506</t>
  </si>
  <si>
    <t>Proposal to Amend Enforcement Regulation of Testing and Inspection of Food and Drugs Act</t>
  </si>
  <si>
    <t>This proposal seeks to: a. Impose laboratories to establish appropriate number of testing case considering their manpower  facilities  instruments and etc.  and comply with it.  b. Prepare legal base to delist improper laboratories when reviewing for renewal after three years from previous designation  by considering annual testing cases  service suspension records  or test capability evaluation results.  c. Amend the Testing Laboratories Guidelines to install an audit trail for instruments. d. Lengthen the service suspension for the laboratories which failed to report unacceptable results  conduct testing in a standardized method  or receive the correct fee.  e. Widen the standards for medical device testing laboratories to harmonize with the international standards.  f. Shorten administrative process time for representative change of laboratories.</t>
  </si>
  <si>
    <t xml:space="preserve"> HS codes: 02  30  04 </t>
  </si>
  <si>
    <t>G/SPS/N/KOR/507</t>
  </si>
  <si>
    <t>Proposed Amendments to the Enforcement Rule of the Food Sanitation Act</t>
  </si>
  <si>
    <t>The proposed amendment seeks to: Allow for products to be labelled or advertised if they are certified or guaranteed by related certification bodies  including foreign accreditation entities  which are admitted by the Commissioner of the Korean Ministry of Food and Drug Safety</t>
  </si>
  <si>
    <t xml:space="preserve"> HS codes: 04  08  02  07 </t>
  </si>
  <si>
    <t>Certification  control and inspection  Food safety  Human health  Labelling</t>
  </si>
  <si>
    <t>G/SPS/N/JPN/420</t>
  </si>
  <si>
    <t>Authorization of 1-Methylnaphthalene as a food additive and establishment of standards and specifications.</t>
  </si>
  <si>
    <t>Food additive (1-Methylnaphthalene)</t>
  </si>
  <si>
    <t>G/SPS/N/KOR/505</t>
  </si>
  <si>
    <t>The proposed amendment seeks to: - Establish a provision to countermand inspection order when the specific foods under inspection order do not have any breach within a given period of time/or scope.</t>
  </si>
  <si>
    <t>Food products  food additives  apparatus  containers and packages</t>
  </si>
  <si>
    <t>G/SPS/N/USA/2765</t>
  </si>
  <si>
    <t>Draft Guidance for Industry on the Voluntary Qualified Importer Program for Food Importers and Guidelines in Consideration of the Burden of the Voluntary Qualified Importer Program Fee Amounts on Small Business  Availability</t>
  </si>
  <si>
    <t>The Food and Drug Administration (FDA) is announcing the availability of a draft guidance for industry on the Voluntary Qualified Importer Program (VQIP) for importers of human or animal food. The draft guidance describes VQIP  which provides for expedited review and importation of food offered for importation by importers who voluntarily agree to participate in the program. The draft guidance describes the eligibility criteria for  and benefits of  participation in VQIP. The draft guidance also provides information on submitting an application for VQIP participation  obtaining a facility certification for the foreign supplier of a food imported under VQIP  the VQIP user fee  conditions that might result in the revocation of VQIP eligibility  and criteria for reinstatement of eligibility. FDA is issuing the draft guidance in accordance with the Federal Food  Drug  and Cosmetic Act (FD&amp;C Act). FDA recognizes that there is significant international interest in how it is implementing the Food Safety Modernization Act of 2010 and as a result has elected to notify this action even though this notification is not an obligation under Article 7/Annex B of the WTO SPS Agreement.</t>
  </si>
  <si>
    <t>Human and animal food - HS Codes: 04  07  08  09  10  11  12  15  16  17  18  19  20  21  22</t>
  </si>
  <si>
    <t xml:space="preserve"> HS codes: 04  19  09  18  17  15  11  20  10  12  22  08  16  07  21 </t>
  </si>
  <si>
    <t>Animal feed  Certification  control and inspection  Food safety  Human health</t>
  </si>
  <si>
    <t>G/SPS/N/IND/105</t>
  </si>
  <si>
    <t>Food Safety and Standard (Contaminants  Toxins and Residues) Amendment Regulation  2015</t>
  </si>
  <si>
    <t>The draft Food Safety and Standard (Contaminants  Toxins and Residues) Amendment Regulation  2015  details the level of Mycotoxin in foods. [Food Safety and Standards (Contaminants  Toxins and Residues) Regulation  2011:  Regulations 2.2.1]</t>
  </si>
  <si>
    <t>Mycotoxins in food</t>
  </si>
  <si>
    <t>Contaminants  Food safety  Mycotoxins  Toxins</t>
  </si>
  <si>
    <t>G/SPS/N/CAN/938</t>
  </si>
  <si>
    <t>Options for Reducing Burden for Micro and Small Businesses</t>
  </si>
  <si>
    <t>In response to comments received during consultations on A New Regulatory Framework for Federal Food Inspection: Overview of Proposed Regulations (G/SPS/N/CAN/700/Rev.1 notified on 5 June 2014)  Canada has released a discussion paper: Options for Reducing Burden for Micro and Small Businesses. This discussion paper is aimed at bettering the Canadian Food Inspection Agency's (CFIA) understanding of the food safety challenges and costs that micro and small businesses face  and to seek their feedback on options that could reduce the burden associated with certain requirements. The CFIA is also interested in hearing about the types of tools  guidance resources and support that would assist these businesses in producing safe and compliant food. Small businesses are those that generate $100 000 or less in annual food gross sales. Microbusinesses have annual food gross sales of $30 000 or less. Current options in consideration for reducing burden include:  - Full or partial exemptions from certain requirements (where safety is not impacted)  - Cost accommodation - Additional time to comply with requirements. Responses received as a result of this consultation will be considered in the proposed regulations under the Safe Food for Canadians Act (SFCA) and pre-published with an additional opportunity to provide comments.</t>
  </si>
  <si>
    <t>G/SPS/N/KOR/503</t>
  </si>
  <si>
    <t>The Enforcement Decree of the Special Act on Imported Food Safety Control</t>
  </si>
  <si>
    <t xml:space="preserve"> This decree has been proposed: - To provide the scope of business by type and information to be registered when if a part of existing registered information is changed  - To provide the detailed information and procedures of administrative measures and required fees  - To provide detailed procedures for the revocation of business registration and operational pending  as well as exemption cases of closing down businesses without prior notification  - To establish the media and contents for public announcement of the fact of violation  and - To determine which of the authority of the Minister of Food and Drug Safety to be delegated or entrusted to the regional Food and Drug Commissioner and relevant specialized institution and organization.</t>
  </si>
  <si>
    <t>G/SPS/N/KOR/504</t>
  </si>
  <si>
    <t xml:space="preserve"> The Enforcement Regulation of the Special Act on Imported Food Safety Control</t>
  </si>
  <si>
    <t>This regulation has been proposed: - To mandate foreign food manufacturers or food importers to register overseas food facilities  to the Ministry of Food and Drug Safety (MFDS)  at least seven days prior to their first importation  including information such as names  addresses and food items  etc. The food products from foreign facilities which failed to be registered can be refused admission into South Korea. The registration should be renewed every two years  - To provide facilities to be eligible for registration  procedures and methods for  registration and changes of registered information for good importers and foreign good  food facilities  - For cases that are necessary to ensure the safety of imported foods  this regulation has been proposed to authorize the MFDS or a third certified party appointed by the MFDS to inspect foreign food facilities through arrangements and agreements with foreign governments or manufacturers. If a facility refuses to be subject to inspection  food import ban from the facility may be possible  - To authorize the MFDS to conduct import risk assessment on livestock products when requested by exporting countries for export permission. As a result of the assessment  the MFDS may notify import sanitary requirements by country or by livestock products  - To authorize the MFDS to control businesses in differentiated manner based on Custom inspection results  non-compliance history  and other food risk-related information and data  - To mandate food importers to declare by submitting necessary documents to the MFDS  and to authorize the MFDS to review the documents and conduct lab tests when necessary prior to clearance process at border  and - To support the safety of food etc. for export by issuing health certificate  etc. to certify sanitary status.</t>
  </si>
  <si>
    <t>G/SPS/N/PHL/288</t>
  </si>
  <si>
    <t>Final Draft Philippine National Standards (PNS) for Animal Feed Ingredients</t>
  </si>
  <si>
    <t>This standard applies to quality and safety parameters of feed ingredients  including their classification  descriptions and purchase specifications  being used in animal feeds intended for domesticated livestock and poultry animals.</t>
  </si>
  <si>
    <t>HS Codes: 04  07  08  10  11  12  15  17  23  28043</t>
  </si>
  <si>
    <t xml:space="preserve"> HS codes: 04  23  28  10  08  12  07  17  15  11 </t>
  </si>
  <si>
    <t>Animal feed  Feed additives  Food safety  Human health</t>
  </si>
  <si>
    <t>G/SPS/N/EU/130</t>
  </si>
  <si>
    <t>Annex to "Draft Commission Regulation amending Annex III to Regulation (EC) No 396/2005 of the European Parliament and of the Council as regards maximum residue levels for oxadixyl and spinetoram in or on certain products (Text with EEA relevance)"</t>
  </si>
  <si>
    <t>This notified annex to the draft Regulation sets proposed maximum residue levels for oxadixyl and spinetoram in Annex III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</si>
  <si>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0202  0207  0203  1007  0204  1006  0201  1004  0209  1002  0210  1001  0205  0206  1005  1003  1008  0208 </t>
  </si>
  <si>
    <t>G/SPS/N/ZAF/38</t>
  </si>
  <si>
    <t>Draft Regulations Governing General Hygiene Requirements for Food Premises  the Transport of Food and Related Matters (Government Notice R.364 of 30 April 2015)</t>
  </si>
  <si>
    <t>These new draft Regulations has been compiled to govern the handling  transportation  storage and sale of foodstuffs to the general public of South Africa by food-producing establishments in order to protect the consumers against any potential risk of contracting food poisoning or a food-borne illness. These new draft regulations provide for additional updates in respect of  inter alia  inclusion  deletion  modifications of definitions  deletion of sections no longer relevant  or movement of certain Regulations to enhance clarity. In addition  hygienic requirements for appliances  bulk milk tanks and butchery equipment have been included  as well as provisions for the hygienic transportation of meat and meat products. The review also included alignment with Codex and other scientific developments from the World Health Organisation such as the five Keys to Safe Foods.</t>
  </si>
  <si>
    <t>Food premises  the transport of food and related matters</t>
  </si>
  <si>
    <t xml:space="preserve"> HS codes: 21 </t>
  </si>
  <si>
    <t>G/SPS/N/EU/128</t>
  </si>
  <si>
    <t>Commission Regulation (EU) No 2015/728 of 6 May 2015 amending the definition of specified risk material set out in Annex V to Regulation (EC) No 999/2001 of the European Parliament and of the Council laying down rules for the prevention  control and eradication of certain transmissible spongiform encephalopathies</t>
  </si>
  <si>
    <t>Regulation (EU) No 2015/728 facilitates trade by approximating the EU list of Specified Risk Materials (SRM) as regards bovine intestine with the relevant international standard.  In line with international standards  the EU SRM list applies only for import into the European Union from non-EU countries with controlled or undetermined BSE risk status.  As far as bovine intestines are concerned  the EU SRM list comprised so far the entirety of bovine intestines and mesentery. With Regulation (EU) No 2015/728  the EU SRM list  as far as bovine intestines are concerned  comprises only the last four meters of the small intestine (i.e. the ileum and a small part of the jejunum)  the caecum and the mesentery.  Regulation (EU) No 2015/728 is based on a scientific opinion of the European Food Safety Authority (http://www.efsa.europa.eu/en/efsajournal/pub/3554.htm) which indicates that  in BSE infected cattle  the BSE infectivity in the bovine intestines and mesentery is concentrated in the last four meters of the bovine intestines  in the caecum and in the mesentery.</t>
  </si>
  <si>
    <t>Bovine meat and meat products (fresh meat  minced meat  meat preparations  meat products  rendered animal fat  greaves  gelatine and collagen other than derived from hides and skins  treated intestines)  bovine by-products (rendered fats intended to be used as organic fertilisers or soil improvers  bones and bone products  petfood  blood products  processed animal protein  gelatine and collagen other than from hides and skins  and other category 3 material and derived products except for hides and skins  gelatine and collagen derived from hides and skins  fat derivatives)</t>
  </si>
  <si>
    <t xml:space="preserve"> HS codes: 05  02  0202  0201 </t>
  </si>
  <si>
    <t>G/SPS/N/CHN/876</t>
  </si>
  <si>
    <t>National Food Safety Standard: General Safety Requirements of Food Contact Materials and Articles</t>
  </si>
  <si>
    <t>This standard stipulates the general requirements  limitation requirement  compliance principles  test method  traceability and product information of food contact materials and articles. This standard applies to all types of food contact materials and articles.</t>
  </si>
  <si>
    <t>Food contact materials and articles</t>
  </si>
  <si>
    <t>G/SPS/N/AUS/359</t>
  </si>
  <si>
    <t>Proposal to Amend Standard 1.4.2 of the Australia New Zealand Food Standards Code (19 May 2015 - Proposed amendment (Agricultural and Veterinary Chemicals Code Instrument No. 4 (MRL Standard) Amendment Instrument 2015 (No. 4)))</t>
  </si>
  <si>
    <t>Food safety  Human health  Maximum residue limits (MRLs)</t>
  </si>
  <si>
    <t>G/SPS/N/BRA/1042</t>
  </si>
  <si>
    <t>Draft resolution regarding the active ingredient A26 AZOXYSTROBIN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</si>
  <si>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(0.3mg/kg safety security period of 7 days)  pumpkin (0.5mg/kg safety security period of 2 days)  zucchini (0.5mg/kg safety security period of 2 days)  lettuce (1.0mg/kg safety security period of 7 days)  on cotton leaves (0.1mg/kg safety security period of 30 days)  garlic (0.2mg/kg safety security period of 2 days)  peanut (0.2mg/kg safety security period of 7 days)  rice (0.7mg/kg safety security period of 30 days)  oat (1.0mg/kg safety security period of 20 days)  banana (0.5mg/kg safety security period of 7 days)  potato (0.1mg/kg safety security period of 7 days)  eggplant (0.05mg/kg safety security period of 3 days)  beet (0.2mg/kg safety security period of 2 days)  sugarcane (0.03mg/kg safety security period of 30 days)  coffee (0.05mg/kg safety security period of 21 days)  cashew (0.2mg/kg safety security period of 2 days)  khaki (0.2mg/kg safety security period of 2 days)  onion (0.2mg/kg safety security period of 2 days)  carrot (0.2mg/kg safety security period of 7 days)  barley (0.6mg/kg safety security of 20 days)  citrus (0.5mg/kg safety security period of 7 days)  cauliflower (0.5mg/kg safety security period of 2 days)  chrysanthemum (non-food use)  pea (0.1mg/kg safety security period of 7 days)  eucalyptus (non-food use)  bean (0.1mg/kg safety security period of 7 days)  fig (0.2mg/kg safety security period of 2 days)  sunflower (0.1mg/kg safety security period of 21 days)  guava (0.2mg/kg safety security period of 2 days)  papaya (0.3mg/kg safety security period of 3 days)  mango (0.3mg/kg safety security period of 7 days)  passion fruit (0.3mg/kg safety security period of 7 days)  watermelon (0.05mg/kg safety security period of 2 days)  melon (0.05mg/kg safety security period of 2 days)  corn (0.01mg/kg safety security period of 42 days)  strawberry (0.3mg/kg safety security period of 1 day)  cucumber (0.5mg/kg safety security period of 2 days)  peach (0.5mg/kg safety security period of 7 days)  green pepper (0.5mg/kg safety security period of 2 days)  soy (0.5mg/kg safety security period of 21 days)  tomato (0.5mg/kg safety security period of 3 days)  wheat (0.1mg/kg safety security period of 30 days)  grape (0.5mg/kg safety security period of 7 days). Seeds application on cotton seeds (0.1mg/kg safety security period not determined due to the mode of use). Industrial treatment of vegetative propagules (seedlings) before planting in cultures of sugarcane (0.03mg/kg safety security not determined due to the mode of use). Plantation furrow application in cultures of sugarcane (0.03mg/kg safety security period not determined due to the mode of use).</t>
  </si>
  <si>
    <t xml:space="preserve">Foliar application in cultures of avocado (0.3mg/kg safety security period of 7 days)  pumpkin (0.5mg/kg safety security period of 2 days)  zucchini (0.5mg/kg safety security period of 2 days)  lettuce (1.0mg/kg safety security period of 7 days)  on cotton leaves (0.1mg/kg safety security period of 30 days)  garlic (0.2mg/kg safety security period of 2 days)  peanut (0.2mg/kg safety security period of 7 days)  rice (0.7mg/kg safety security period of 30 days)  oat (1.0mg/kg safety security period of 20 days)  banana (0.5mg/kg safety security period of 7 days)  potato (0.1mg/kg safety security period of 7 days)  eggplant (0.05mg/kg safety security period of 3 days)  beet (0.2mg/kg safety security period of 2 days)  sugarcane (0.03mg/kg safety security period of 30 days)  coffee (0.05mg/kg safety security period of 21 days)  cashew (0.2mg/kg safety security period of 2 days)  khaki (0.2mg/kg safety security period of 2 days)  onion (0.2mg/kg safety security period of 2 days)  carrot (0.2mg/kg safety security period of 7 days)  barley (0.6mg/kg safety security of 20 days)  citrus (0.5mg/kg safety security period of 7 days)  cauliflower (0.5mg/kg safety security period of 2 days)  chrysanthemum (non-food use)  pea (0.1mg/kg safety security period of 7 days)  eucalyptus (non-food use)  bean (0.1mg/kg safety security period of 7 days)  fig (0.2mg/kg safety security period of 2 days)  sunflower (0.1mg/kg safety security period of 21 days)  guava (0.2mg/kg safety security period of 2 days)  papaya (0.3mg/kg safety security period of 3 days)  mango (0.3mg/kg safety security period of 7 days)  passion fruit (0.3mg/kg safety security period of 7 days)  watermelon (0.05mg/kg safety security period of 2 days)  melon (0.05mg/kg safety security period of 2 days)  corn (0.01mg/kg safety security period of 42 days)  strawberry (0.3mg/kg safety security period of 1 day)  cucumber (0.5mg/kg safety security period of 2 days)  peach (0.5mg/kg safety security period of 7 days)  green pepper (0.5mg/kg safety security period of 2 days)  soy (0.5mg/kg safety security period of 21 days)  tomato (0.5mg/kg safety security period of 3 days)  wheat (0.1mg/kg safety security period of 30 days)  grape (0.5mg/kg safety security period of 7 days). Seeds application on cotton seeds (0.1mg/kg safety security period not determined due to the mode of use). Industrial treatment of vegetative propagules (seedlings) before planting in cultures of sugarcane (0.03mg/kg safety security not determined due to the mode of use). Plantation furrow application in cultures of sugarcane (0.03mg/kg safety security period not determined due to the mode of use).  </t>
  </si>
  <si>
    <t>G/SPS/N/BRA/1044</t>
  </si>
  <si>
    <t>Draft resolution regarding the active ingredient G05 GLUFOSINATE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</si>
  <si>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lettuce (0.05mg/kg safety security period of 7 days)  cotton (0.5mg/kg safety security period of 28 days)  cotton (0.5mg/kg safety security period to the culture of genetically modified cotton  which express resistance to glufosinate  is of 116 days  when the pesticide is applied in post-emergency of the culture and of the weeds)  banana (0.05mg/kg safety security period of 10 days)  potato (0.05mg/kg safety security period of 10 days)  coffee (0.05mg/kg safety security period of 20 days)  citrus (0.05mg/kg safety security period of 40 days)  eucalyptus (non-food use)  apple (0.05mg/kg safety security period of 7 days)  corn (0.05mg/kg safety security period not determined due to the mode of use)  corn (0.05mg/kg safety security period to the culture of genetically modified corn  which express resistance to glufosinate  is of 50 days  when the pesticide is applied in post-emergency of the culture and of the weeds)  nectarine (0.05mg/kg safety security period of 7 days)  peach (0.05mg/kg safety security period of 7 days)  cabbage (0.05mg/kg safety security period of 7 days)  soy (1.5mg/kg safety security period of 10 days)  soy (1.5mg/kg safety security period to the culture of genetically modified soy  which express resistance to glufosinate  is of 60 days  when the pesticide is applied in post-emergency of the culture and of the weeds)  wheat (0.5mg/kg safety security period not determined due to the mode of use)  grape (0.05mg/kg safety security period of 7 days). Desiccant application in cultures of cotton (0.5mg/kg safety security period of 28 days)  potato (0.05mg/kg safety security period of 10 days)  bean (0.05mg/kg safety security period of 5 days)  soy (1.5mg/kg safety security period of 10 days)  wheat (0.5mg/kg safety security period of 15 days).</t>
  </si>
  <si>
    <t>G/SPS/N/BRA/1043</t>
  </si>
  <si>
    <t>Draft resolution regarding the active ingredient I05 IPRODIONE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</si>
  <si>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lettuce (1.0mg/kg safety security period of 14 days)  on cotton leaves (0.2mg/kg safety security period of 14 days)  potato (0.02mg/kg safety security period of 30 days)  coffee (2.0mg/kg safety security period of 35 days)  onion (1.0mg/kg safety security period of 14 days)  carrot (1.0mg/kg safety security period of 14 days)  chrysanthemum (non-food use)  bean (0.1mg/kg safety security period of 15 days)  tobacco (non-food use)  melon (0.1mg/kg safety security period of 1 day)  strawberry (2.0mg/kg safety security period of 1 day)  peach (5.0mg/kg safety security period of 3 days)  green pepper (4.0mg/kg safety security period of 3 days)  rose (non-food use)  soy (0.5mg/kg safety security period of 14 days)  tomato (4.0mg/kg safety security period of 1 day)  wheat (2.0mg/kg safety security period of 5 days)  grape (1.0mg/kg safety security period of 14 days). Seeds application in cultures of barley (0.05mg/kg safety security period not determined due to the mode of use)  wheat (2.0mg/kg safety security period not determined due to the mode of use). Bulbs application in cultures of garlic (0.2mg/kg safety security period not determined due to the mode of use). Post-harvest application in cultures of apple (5.0mg/kg safety security period of 3 days).</t>
  </si>
  <si>
    <t>G/SPS/N/JPN/412</t>
  </si>
  <si>
    <t>Authorization of Ammonium isovalerate as food additives and establishment of standards and specifications.</t>
  </si>
  <si>
    <t>Food additive (Ammonium isovalerate)</t>
  </si>
  <si>
    <t>G/SPS/N/JPN/413</t>
  </si>
  <si>
    <t>Revise the existing use standards for the food additive Calcium silicate.</t>
  </si>
  <si>
    <t>Food additive (Calcium silicate)</t>
  </si>
  <si>
    <t>G/SPS/N/JPN/414</t>
  </si>
  <si>
    <t>Revise the existing use standards for the food additive Zinc gluconate.</t>
  </si>
  <si>
    <t>Food additive (Zinc gluconate)</t>
  </si>
  <si>
    <t>G/SPS/N/BRA/1040</t>
  </si>
  <si>
    <t>Draft resolution regarding the active ingredient T12 THIABENDAZOLE of the monograph list of active ingredients for pesticides  household cleaning products and wood preservers  published by Resolution - RE no. 165 of 29 August 2003  Brazilian Official Gazette (DOU Diário Oficial da União) of 2 September 2003</t>
  </si>
  <si>
    <t xml:space="preserve">Foliar application in cultures of avocado (5.0mg/kg safety security period of 14 days)  pineapple (0.1mg/kg safety security period of 30 days)  banana (6.0mg/kg safety security period not determined due to the mode of use)  citrus (10.0mg/kg safety security period not determined due to the mode of use)  coconut (0.2mg/kg safety security period of 14 days)  pea (0.1mg/kg safety security period of 14 days)  snap beans (2.0mg/kg safety security period of 14 days)  apple (10.0mg/kg safety security period not determined due to the mode of use)  papaya (6.0mg/kg safety security period of 14 days)  mango (2.0mg/kg safety security period of 14 days)  passion fruit (1.0mg/kg safety security period of 14 days)  melon (4.0mg/kg safety security period of 14 days)  pear (10.0mg/kg safety security period not determined due to the mode of use)  green pepper (2.0mg/kg safety security period of 14 days). Seeds application in cultures of chard (0.01mg/kg safety security period not determined due to the mode of use)  lettuce (0.01mg/kg safety security period not determined due to the mode of use)  rice (0.2mg/kg safety security period not determined due to the mode of use)  potato (5.0mg/kg safety security period not determined due to the mode of use)  onion (0.01mg/kg safety security period not determined due to the mode of use)  carrot (0.01mg/kg safety security period not determined due to the mode of use)  chicory (0.01mg/kg safety security period not determined due to the mode of use)  spinach (0.01mg/kg safety security period not determined due to the mode of use)  bean (0.01mg/kg safety security period not determined due to the mode of use)  sunflower (0.1mg/kg safety security period not determined due to the mode of use)  watermelon (0.01mg/kg safety security period not determined due to the mode of use)  melon (4.0mg/kg safety security period not determined due to the mode of use)  corn (0.2mg/kg safety security period not determined due to the mode of use)  arugula (0.01mg/kg safety security period not determined due to the mode of use)  soy (0.1mg/kg safety security period not determined due to the mode of use)  sorghum (0.01mg/kg safety security period not determined due to the mode of use)  tomato (0.01mg/kg safety security period not determined due to the mode of use). Post-harvest application in cultures of avocado (5.0mg/kg safety security period not determined due to the mode of use)  banana (6.0mg/kg safety security period not determined due to the mode of use)  citrus (10.0mg/kg safety security period not determined due to the mode of use)  papaya (6.0mg/kg safety security period not determined due to the mode of use)  mango (2.0mg/kg safety security period not determined due to the mode of use)  melon (4.0mg/kg safety security period not determined due to the mode of use). Industrial treatment of vegetative propagules (seedlings) before planting application in cultures of sugarcane (0.01mg/kg safety security period not determined due to the mode of use). Bulbs application in cultures of gladiolus (non-food use).  </t>
  </si>
  <si>
    <t>Foliar application in cultures of avocado (5.0mg/kg safety security period of 14 days)  pineapple (0.1mg/kg safety security period of 30 days)  banana (6.0mg/kg safety security period not determined due to the mode of use)  citrus (10.0mg/kg safety security period not determined due to the mode of use)  coconut (0.2mg/kg safety security period of 14 days)  pea (0.1mg/kg safety security period of 14 days)  snap beans (2.0mg/kg safety security period of 14 days)  apple (10.0mg/kg safety security period not determined due to the mode of use)  papaya (6.0mg/kg safety security period of 14 days)  mango (2.0mg/kg safety security period of 14 days)  passion fruit (1.0mg/kg safety security period of 14 days)  melon (4.0mg/kg safety security period of 14 days)  pear (10.0mg/kg safety security period not determined due to the mode of use)  green pepper (2.0mg/kg safety security period of 14 days). Seeds application in cultures of chard (0.01mg/kg safety security period not determined due to the mode of use)  lettuce (0.01mg/kg safety security period not determined due to the mode of use)  rice (0.2mg/kg safety security period not determined due to the mode of use)  potato (5.0mg/kg safety security period not determined due to the mode of use)  onion (0.01mg/kg safety security period not determined due to the mode of use)  carrot (0.01mg/kg safety security period not determined due to the mode of use)  chicory (0.01mg/kg safety security period not determined due to the mode of use)  spinach (0.01mg/kg safety security period not determined due to the mode of use)  bean (0.01mg/kg safety security period not determined due to the mode of use)  sunflower (0.1mg/kg safety security period not determined due to the mode of use)  watermelon (0.01mg/kg safety security period not determined due to the mode of use)  melon (4.0mg/kg safety security period not determined due to the mode of use)  corn (0.2mg/kg safety security period not determined due to the mode of use)  arugula (0.01mg/kg safety security period not determined due to the mode of use)  soy (0.1mg/kg safety security period not determined due to the mode of use)  sorghum (0.01mg/kg safety security period not determined due to the mode of use)  tomato (0.01mg/kg safety security period not determined due to the mode of use). Post-harvest application in cultures of avocado (5.0mg/kg safety security period not determined due to the mode of use)  banana (6.0mg/kg safety security period not determined due to the mode of use)  citrus (10.0mg/kg safety security period not determined due to the mode of use)  papaya (6.0mg/kg safety security period not determined due to the mode of use)  mango (2.0mg/kg safety security period not determined due to the mode of use)  melon (4.0mg/kg safety security period not determined due to the mode of use). Industrial treatment of vegetative propagules (seedlings) before planting application in cultures of sugarcane (0.01mg/kg safety security period not determined due to the mode of use). Bulbs application in cultures of gladiolus (non-food use)</t>
  </si>
  <si>
    <t>G/SPS/N/BRA/1039</t>
  </si>
  <si>
    <t>Draft resolution regarding the active ingredient A04 GIBBERELLIC ACID of the monograph list of active ingredients for pesticides  household cleaning products and wood preservers  published by Resolution - RE no. 165 of 29 August 2003  Brazilian Official Gazette (DOU Diário Oficial da União) of 2 September 2003</t>
  </si>
  <si>
    <t xml:space="preserve">Foliar application in cultures of lettuce  on cotton leaves  rice  ryegrass  coffee  sugarcane  barley  citrus  bean  apple  corn  soy  wheat  grape (maximum residue limit and safety security period not determined due to its natural occurrence in food cultures). Seeds application in cultures of rice  potato  barley  bean  corn  soy  wheat (maximum residue limit and safety security period not determined due to its natural occurrence in food cultures). Soil application in cultures of sugarcane  barley  wheat (maximum residue limit and safety security period not determined due to its natural occurrence in food cultures). Brushing or immersion (bunches) application in cultures of banana (maximum residue limit and safety security period not determined due to its natural occurrence in food cultures). Immersion (bunches) application in cultures of grape (maximum residue limit and safety security period not determined due to its natural occurrence in food cultures).  </t>
  </si>
  <si>
    <t>Foliar application in cultures of lettuce  on cotton leaves  rice  ryegrass  coffee  sugarcane  barley  citrus  bean  apple  corn  soy  wheat  grape (maximum residue limit and safety security period not determined due to its natural occurrence in food cultures). Seeds application in cultures of rice  potato  barley  bean  corn  soy  wheat (maximum residue limit and safety security period not determined due to its natural occurrence in food cultures). Soil application in cultures of sugarcane  barley  wheat (maximum residue limit and safety security period not determined due to its natural occurrence in food cultures). Brushing or immersion (bunches) application in cultures of banana (maximum residue limit and safety security period not determined due to its natural occurrence in food cultures). Immersion (bunches) application in cultures of grape (maximum residue limit and safety security period not determined due to its natural occurrence in food cultures)</t>
  </si>
  <si>
    <t>Food safety  Human health  Pesticides</t>
  </si>
  <si>
    <t>G/SPS/N/BRA/1041</t>
  </si>
  <si>
    <t>Draft resolution regarding the active ingredient E19 ETOFENPROX of the monograph list of active ingredients for pesticides  household cleaning products and wood preservers  published by Resolution - RE no. 165 of 29 August 2003  Brazilian Official Gazette (DOU Diário Oficial da União) of 2 September 2003. Inclusion of cultures of coconut (0.3mg/kg safety security period of 21 days) and eucalyptus (non-food use)  in foliar application  and inclusion of the definition of residue "the maximum residue limit to the culture of coconut refers to the amount of etofenprox and its metabolite alpha-CO  expressed as etofenprox".</t>
  </si>
  <si>
    <t>Foliar application on cotton leaves (0.5mg/kg safety security period of 15 days)  rice (3.0mg/kg safety security period of 3 days)  coffee (0.05mg/kg safety security period of 14 days)  citrus (0.2mg/kg safety security period of 7 days)  coconut (0.3mg/kg safety security period of 21 days)  eucalyptus (non-food use)  bean (0.5mg/kg safety security period of 3 days)  tobacco (non-food use)  apple (0.5mg/kg safety security period of 7 days)  mango (0.3mg/kg safety security period of 1 day)  melon (0.1mg/kg safety security period of 1 day)  corn (0.05mg/kg safety security period of 3 days)  peach (0.05mg/kg safety security period of 7 days)  soy (1.0mg/kg safety security period of 15 days)  tomato (0.5mg/kg safety security period of 3 days)  wheat (1.0mg/kg safety security period of 16 days).</t>
  </si>
  <si>
    <t>G/SPS/N/OMN/55</t>
  </si>
  <si>
    <t>Extraction solvents and its residue limits in the production foodstuffs and food ingredients</t>
  </si>
  <si>
    <t>This Omani/Gulf draft technical regulation applies to extraction solvents used in the production of foodstuffs or food ingredients. Unless product specifications state the opposite. Items related to requirements and labelling (items 4 and 6) are compulsory. The remaining items are voluntary.</t>
  </si>
  <si>
    <t>Extraction solvents and its residue limits in the production foodstuffs and food ingredients: ICS Code (67.040)</t>
  </si>
  <si>
    <t>G/SPS/N/BRA/1038</t>
  </si>
  <si>
    <t xml:space="preserve">Draft resolution regarding the active ingredient T14 THIOPHANATE-METHYL of the monograph list of active ingredients for pesticides  household cleaning products and wood preservers  published by Resolution - RE no. 165 of 29 August 2003  Brazilian Official Gazette (DOU Diário Oficial da União) of 2 September 2003 Inclusion of cultures of pasture (0.01mg/kg safety security period not determined due to the mode of use)  in seeds application.  </t>
  </si>
  <si>
    <t xml:space="preserve">Foliar application in cultures of pineapple (0.5mg/kg safety security period of 14 days)  pumpkin (0.1mg/kg safety security period of 14 days)  on cotton leaves (0.2mg/kg safety security period of 14 days)  garlic (5.0mg/kg safety security period of 14 days)  peanut (0.1mg/kg safety security period of 7 days)  anthurium (non-food use)  rice (0.5mg/kg safety security period of 7 days)  banana (0.5mg/kg safety security period of 14 days)  begonia (non-food use)  eggplant (0.05mg/kg safety security period of 14 days)  coffee (0.03mg/kg safety security period of 28 days)  onion (0.1mg/kg safety security period of 7 days)  citrus (5.0mg/kg safety security period of 14 days)  clove (non-food use)  chrysanthemum (non-food use)  pea (0.1mg/kg safety security period of 14 days)  eucalyptus (non-food use)  bean (2.0mg/kg safety security period of 14 days)  gladiolus (non-food use)  hydrangea (non-food use)  apple (0.5mg/kg safety security period of 7 days)  papaya (0.5mg/kg safety security period of 3 days)  mango (2.0mg/kg safety security period of 14 days)  watermelon (0.3mg/kg safety security period of 13 days)  melon (0.5mg/kg safety security period of 14 days)  corn (2.0mg/kg safety security period of 3 days)  strawberry (0.5mg/kg safety security period of 14 days)  orchids (non-food use)  jatropha (non-food use)  cucumber (0.2mg/kg safety security period of 7 days)  rose (non-food use)  rubber tree (non-food use)  soy (0.5mg/kg safety security period of 21 days)  tomato (0.2mg/kg safety security period of 14 days)  wheat (0.1mg/kg safety security period of 14 days)  grape (0.7mg/kg safety security period of 14 days). Seeds application on cotton seeds (0.2mg/kg safety security period not determined due to the mode of use)  peanut (0.1mg/kg safety security period not determined due to the mode of use)  rice (0.5mg/kg safety security period not determined due to the mode of use)  potato (0.1mg/kg safety security period not determined due to the mode of use)  barley (0.01mg/kg safety security period not determined due to the mode of use)  bean (2.0mg/kg safety security period not determined due to the mode of use)  corn (2.0mg/kg safety security period not determined due to the mode of use)  pasture (0.01mg/kg safety security period not determined due to the mode of use)  sorghum (0.01mg/kg safety security period not determined due to the mode of use)  soy (0.5mg/kg safety security period not determined due to the mode of use)  wheat (0.1mg/kg safety security period not determined due to the mode of use). Bulbils application in cultures of garlic (5.0mg/kg safety security period not determined due to the mode of use). </t>
  </si>
  <si>
    <t>Foliar application in cultures of pineapple (0.5mg/kg safety security period of 14 days)  pumpkin (0.1mg/kg safety security period of 14 days)  on cotton leaves (0.2mg/kg safety security period of 14 days)  garlic (5.0mg/kg safety security period of 14 days)  peanut (0.1mg/kg safety security period of 7 days)  anthurium (non-food use)  rice (0.5mg/kg safety security period of 7 days)  banana (0.5mg/kg safety security period of 14 days)  begonia (non-food use)  eggplant (0.05mg/kg safety security period of 14 days)  coffee (0.03mg/kg safety security period of 28 days)  onion (0.1mg/kg safety security period of 7 days)  citrus (5.0mg/kg safety security period of 14 days)  clove (non-food use)  chrysanthemum (non-food use)  pea (0.1mg/kg safety security period of 14 days)  eucalyptus (non-food use)  bean (2.0mg/kg safety security period of 14 days)  gladiolus (non-food use)  hydrangea (non-food use)  apple (0.5mg/kg safety security period of 7 days)  papaya (0.5mg/kg safety security period of 3 days)  mango (2.0mg/kg safety security period of 14 days)  watermelon (0.3mg/kg safety security period of 13 days)  melon (0.5mg/kg safety security period of 14 days)  corn (2.0mg/kg safety security period of 3 days)  strawberry (0.5mg/kg safety security period of 14 days)  orchids (non-food use)  jatropha (non-food use)  cucumber (0.2mg/kg safety security period of 7 days)  rose (non-food use)  rubber tree (non-food use)  soy (0.5mg/kg safety security period of 21 days)  tomato (0.2mg/kg safety security period of 14 days)  wheat (0.1mg/kg safety security period of 14 days)  grape (0.7mg/kg safety security period of 14 days). Seeds application on cotton seeds (0.2mg/kg safety security period not determined due to the mode of use)  peanut (0.1mg/kg safety security period not determined due to the mode of use)  rice (0.5mg/kg safety security period not determined due to the mode of use)  potato (0.1mg/kg safety security period not determined due to the mode of use)  barley (0.01mg/kg safety security period not determined due to the mode of use)  bean (2.0mg/kg safety security period not determined due to the mode of use)  corn (2.0mg/kg safety security period not determined due to the mode of use)  pasture (0.01mg/kg safety security period not determined due to the mode of use)  sorghum (0.01mg/kg safety security period not determined due to the mode of use)  soy (0.5mg/kg safety security period not determined due to the mode of use)  wheat (0.1mg/kg safety security period not determined due to the mode of use). Bulbils application in cultures of garlic (5.0mg/kg safety security period not determined due to the mode of use)</t>
  </si>
  <si>
    <t>G/SPS/N/BRA/1036</t>
  </si>
  <si>
    <t xml:space="preserve">Draft resolution regarding the active ingredient P46 PYRACLOSTROBIN of the monograph list of active ingredients for pesticides  household cleaning products and wood preservers  published by Resolution - RE no. 165 of 29 August 2003  Brazilian Official Gazette (DOU Diário Oficial da União) of 2 September 2003 Inclusion of cultures of pasture (0.02mg/kg safety security period not determined due to the mode of use)  in seeds application.  </t>
  </si>
  <si>
    <t xml:space="preserve">Foliar application in cultures of pineapple (0.2mg/kg safety security period of 3 days)  lettuce (1.0mg/kg safety security period of 3 days)  on cotton leaves (0.2mg/kg safety security period of 7 days)  garlic (0.1mg/kg safety security period of 7 days)  peanut (0.1mg/kg safety security period of 14 days)  oat (1.0mg/kg safety security period of 30 days)  banana (0.5mg/kg safety security period of 3 days)  potato (0.01mg/kg safety security period of 3 days)  beet (0.1mg/kg safety security period of 3 days)  cocoa (0.02mg/kg safety security period of 14 days)  coffee (0.5mg/kg safety security period of 45 days)  sugarcane (0.2mg/kg safety security period of 30 days)  onion (0.5mg/kg safety security period of 7 days)  carrot (0.2mg/kg safety security period of 7 days)  barley (1.5mg/kg safety security period of 30 days)  citrus (0.5mg/kg safety security period of 14 days)  chrysanthemum (non-food use)  eucalyptus (non-food use)  bean (0.1mg/kg safety security period of 14 days)  sunflower (0.2mg/kg safety security period of 30 days)  cassava (0.02mg/kg safety security period of 30 days)  apple (2.0mg/kg safety security period of 14 days)  papaya (0.1mg/kg safety security period of 7 days)  mango (0.1mg/kg safety security period of 7 days)  passion fruit (0.2mg/kg safety security period of 7 days)  watermelon (0.1mg/kg safety security period of 7 days)  melon (0.1mg/kg safety security period of 7 days)  corn (0.1mg/kg safety security period of 45 days)  cucumber (0.05mg/kg safety security period of 7 days)  peach (1.0mg/kg safety security period of 7 days)  green pepper (1.0mg/kg safety security period of 3 days)  rose (non-food use)  soy (0.1mg/kg safety security period of 14 days)  sorghum (2.0mg/kg safety security period of 30 days)  tomato (0.2mg/kg safety security period of 1 day)  wheat (0.5mg/kg safety security period of 30 days)  grape (2.0mg/kg safety security period of 7 days). Seeds application on cotton seeds (0.2mg/kg safety security period not determined due to the mode of use)  peanut (0.1mg/kg safety security period not determined due to the mode of use)  rice (0.02mg/kg safety security period not determined due to the mode of use)  barley (1.5mg/kg safety security period not determined due to the mode of use)  bean (0.1mg/kg safety security period not determined due to the mode of use)  corn (0.1mg/kg safety security period not determined due to the mode of use)  pasture (0.02mg/kg safety security period not determined due to the mode of use)  soy (0.1mg/kg safety security period not determined due to the mode of use)  sorghum (2.0mg/kg safety security period not determined due to the mode of use)  wheat (0.5mg/kg safety security period not determined due to the mode of use). Plantation furrow application in cultures of potato (0.01mg/kg safety security period not determined due to the mode of use). Tolete application in cultures of sugarcane (0.2mg/kg safety security period not determined due to the mode of use).   </t>
  </si>
  <si>
    <t>Foliar application in cultures of pineapple (0.2mg/kg safety security period of 3 days)  lettuce (1.0mg/kg safety security period of 3 days)  on cotton leaves (0.2mg/kg safety security period of 7 days)  garlic (0.1mg/kg safety security period of 7 days)  peanut (0.1mg/kg safety security period of 14 days)  oat (1.0mg/kg safety security period of 30 days)  banana (0.5mg/kg safety security period of 3 days)  potato (0.01mg/kg safety security period of 3 days)  beet (0.1mg/kg safety security period of 3 days)  cocoa (0.02mg/kg safety security period of 14 days)  coffee (0.5mg/kg safety security period of 45 days)  sugarcane (0.2mg/kg safety security period of 30 days)  onion (0.5mg/kg safety security period of 7 days)  carrot (0.2mg/kg safety security period of 7 days)  barley (1.5mg/kg safety security period of 30 days)  citrus (0.5mg/kg safety security period of 14 days)  chrysanthemum (non-food use)  eucalyptus (non-food use)  bean (0.1mg/kg safety security period of 14 days)  sunflower (0.2mg/kg safety security period of 30 days)  cassava (0.02mg/kg safety security period of 30 days)  apple (2.0mg/kg safety security period of 14 days)  papaya (0.1mg/kg safety security period of 7 days)  mango (0.1mg/kg safety security period of 7 days)  passion fruit (0.2mg/kg safety security period of 7 days)  watermelon (0.1mg/kg safety security period of 7 days)  melon (0.1mg/kg safety security period of 7 days)  corn (0.1mg/kg safety security period of 45 days)  cucumber (0.05mg/kg safety security period of 7 days)  peach (1.0mg/kg safety security period of 7 days)  green pepper (1.0mg/kg safety security period of 3 days)  rose (non-food use)  soy (0.1mg/kg safety security period of 14 days)  sorghum (2.0mg/kg safety security period of 30 days)  tomato (0.2mg/kg safety security period of 1 day)  wheat (0.5mg/kg safety security period of 30 days)  grape (2.0mg/kg safety security period of 7 days). Seeds application on cotton seeds (0.2mg/kg safety security period not determined due to the mode of use)  peanut (0.1mg/kg safety security period not determined due to the mode of use)  rice (0.02mg/kg safety security period not determined due to the mode of use)  barley (1.5mg/kg safety security period not determined due to the mode of use)  bean (0.1mg/kg safety security period not determined due to the mode of use)  corn (0.1mg/kg safety security period not determined due to the mode of use)  pasture (0.02mg/kg safety security period not determined due to the mode of use)  soy (0.1mg/kg safety security period not determined due to the mode of use)  sorghum (2.0mg/kg safety security period not determined due to the mode of use)  wheat (0.5mg/kg safety security period not determined due to the mode of use). Plantation furrow application in cultures of potato (0.01mg/kg safety security period not determined due to the mode of use). Tolete application in cultures of sugarcane (0.2mg/kg safety security period not determined due to the mode of use)</t>
  </si>
  <si>
    <t>G/SPS/N/BRA/1033</t>
  </si>
  <si>
    <t>Draft resolution regarding the active ingredient T33 TEFLUBENZURON of the monograph list of active ingredients for pesticides  household cleaning products and wood preservers  published by Resolution - RE n°165 of 29 August 2003  Brazilian Official Gazette (DOU Diário Oficial da União) of 2 September 2003.</t>
  </si>
  <si>
    <t>Foliar application in cultures of pineapple (0.7mg/kg safety security period of 7 days)  pumpkin (0.01mg/kg safety security period of 7 days)  zucchini (0.01mg/kg safety security period of 7 days)  chard (0.3mg/kg safety security period of 7 days)  Barbados cherry (1.0mg/kg safety security period of 7 days)  watercress (0.3mg/kg safety security period of 7 days)  lettuce (0.3mg/kg safety security period of 7 days)  on cotton leaves (0.1mg/kg safety security period of 30 days)  garlic (0.03mg/kg safety security period of 7 days)  plum (0.2mg/kg safety security period of 15 days)  black mulberry (1.0mg/kg safety security period of 7 days)  annonaceae (0.2mg/kg safety security period of 7 days)  oat (0.3mg/kg safety security period of 14 days)  potato (0.1mg/kg safety security period of 7 days)  eggplant (0.03mg/kg safety security period of 14 days)  beet (0.05mg/kg safety security period of 14 days)  broccoli (0.01mg/kg safety security period of 7 days)  coffee (0.5mg/kg safety security period of 30 days)  sugarcane (0.01mg/kg safety security period of 40 days)  canola (0.7mg/kg safety security period of 21 days)  onion (0.03mg/kg safety security period of 7 days)  rye (0.3mg/kg safety security period of 14 days)  barley (0.3mg/kg safety security period of 14 days)  chicory (0.3mg/kg safety security period of 7 days)  chayote (0.01mg/kg safety security period of 7 days)  citrus (0.2mg/kg safety security period of 15 days)  kale (0.01mg/kg safety security period of 7 days)  Chinese cabbage (0.01mg/kg safety security period of 7 days)  Brussels sprouts (0.01mg/kg safety security period of 7 days)  cauliflower (0.01mg/kg safety security period of 7 days)  cupuacu (0.2mg/kg safety security period of 7 days)  spinach (0.3mg/kg safety security period of 7 days)  tobacco (non-food use)  sesame (0.7mg/kg safety security period of 21 days)  sunflower (0.7mg/kg safety security period of 21 days)  scarlet eggplant (0.03mg/kg safety security period of 14 days)  papaya (0.2mg/kg safety security period of 7 days)  arracacha (0.05mg/kg safety security period of 14 days)  mango (0.7mg/kg safety security period of 7 days)  passion fruit (0.2mg/kg safety security period of 7 days)  quince (0.2mg/kg safety security period of 15 days)  millet (0.1mg/kg safety security period of 45 days)  corn (0.1mg/kg safety security period of 45 days)  strawberry (1.0mg/kg safety security period of 7 days)  mustard (0.3mg/kg safety security period of 7 days)  turnip (0.05mg/kg safety security period of 14 days)  medlar (0.2mg/kg safety security period of 15 days)  cucumber (0.01mg/kg safety security period of 7 days)  pear (0.2mg/kg safety security period of 15 days)  peach (0.2mg/kg safety security period of 15 days)  pepper (0.03mg/kg safety security period of 14 days)  green pepper (0.03mg/kg safety security period of 14 days)  Surinam cherry (1.0mg/kg safety security period of 7 days)  okra (0.03mg/kg safety security period of 14 days)  cabbage (0.01mg/kg safety security period of 7 days)  arugula (0.3mg/kg safety security period of 7 days)  soy (0.1mg/kg safety security period of 30 days)  sorghum (0.1mg/kg safety security period of 45 days)  tomato (0.1mg/kg safety security period of 4 days)  wheat (0.3mg/kg safety security period of 14 days)  triticale (0.3mg/kg safety security period of 14 days).</t>
  </si>
  <si>
    <t>G/SPS/N/BRA/1032</t>
  </si>
  <si>
    <t>Draft resolution regarding the active ingredient F55 FENAMIDONE of the monograph list of active ingredients for pesticides  household cleaning products and wood preservers  published by Resolution - RE n°165 of 29 August 2003  Brazilian Official Gazette (DOU Diário Oficial da União) of 2 September 2003.  Inclusion of cultures of wild chicory and chicory  in foliar application  (2.0mg/kg safety security period of 7 days) and inclusion of cultures of pumpkin  zucchini  eggplant  chayote  scarlet eggplant  pepper  green pepper  cucumber and okra  in foliar application (0.2mg/kg safety security period of 1 day).</t>
  </si>
  <si>
    <t>Foliar application in cultures of pumpkin (0.2mg/kg safety security period of 1 day)  zucchini (0.2mg/kg safety security period of 1 day)  lettuce (2.0mg/kg safety security period of 7 days)  wild chicory (2.0mg/kg safety security period of 7 days)  potato (0.02mg/kg safety security period of 7 days)  eggplant (2.0mg/kg safety security period of 7 days)  onion (0.05mg/kg safety security period of 7 days)  chicory (2.0mg/kg safety security period of 7 days)  chayote (0.2mg/kg safety security period of 1 day)  scarlet eggplant (0.2mg/kg safety security period of 1 day)  watermelon (0.1mg/kg safety security period of 7 days)  melon (0.02mg/kg safety security period of 7 days)  cucumber (0.2mg/kg safety security period of 1 day)  pepper (0.2mg/kg safety security period of 1 day)  green pepper (0.2mg/kg safety security period of 1 day)  okra (0.2mg/kg safety security period of 1 day)  rose (non-food use)  tomato (0.5mg/kg safety security period of 7 days)  grape (0.2mg/kg safety security period of 7 days).</t>
  </si>
  <si>
    <t>G/SPS/N/BRA/1031</t>
  </si>
  <si>
    <t xml:space="preserve">Draft resolution regarding the active ingredient C32 CLETHODIM of the monograph list of active ingredients for pesticides  household cleaning products and wood preservers  published by Resolution - RE n° 165 of 29 August 2003  Brazilian Official Gazette (DOU Diário Oficial da União) of 2 September 2003 Inclusion of cultures of sunflower (0.05mg/kg safety security period of 53 days)  apple and grape (0.05mg/kg safety security period of 23 days)  inclusion of cultures of sweet potato  yacon potato  beet  yams  ginger  cocoyam  arracacha  turnip and radish (0.5mg/kg safety security period of 180 days)  and inclusion of cultures of eggplant  scarlet eggplant  pepper  green pepper and okra (0.5mg/kg safety security period of 20 days)  all in post-emergency application.  </t>
  </si>
  <si>
    <t xml:space="preserve">Post-emergency application in cultures of cotton (0.5mg/kg safety security period of 50 days)  garlic (0.5mg/kg safety security period of 40 days)  potato (0.5mg/kg safety security period of 40 days)  sweet potato (0.5mg/kg safety security period of 180 days)  yacon potato (0.5mg/kg safety security period of 180 days)  eggplant (0.5mg/kg safety security period of 20 days)  beet (0.5mg/kg safety security period of 180 days)  coffee (0.5mg/kg safety security period of 20 days)  yams (0.5mg/kg safety security period of 180 days)  onion (0.5mg/kg safety security period of 40 days)  carrot (0.5mg/kg safety security period of 40 days)  bean (0.5mg/kg safety security period of 40 days)  tobacco (non-food use)  ginger (0.5mg/kg safety security period of 180 days)  sunflower (0.05mg/kg safety security period of 53 days)  cocoyam (0.5mg/kg safety security period of 180 days)  scarlet eggplant (0.5mg/kg safety security period of 20 days)  apple (0.05mg/kg safety security period of 23 days)  cassava (0.5mg/kg safety security period of 180 days)  arracacha (0.5mg/kg safety security period of 180 days)  watermelon (0.5mg/kg safety security period of 20 days)  turnip (0.5mg/kg safety security period of 180 days)  pepper (0.5mg/kg safety security period of 20 days)  green pepper (0.5mg/kg safety security period of 20 days)  okra (0.5mg/kg safety security period of 20 days)  radish (0.5mg/kg safety security period of 180 days)  soy (1.0mg/kg safety security period of 60 days)  tomato (0.5mg/kg safety security period of 20 days)  grape (0.05mg/kg safety security period of 23 days). Pre-emergency application in cultures of corn (0.5mg/kg safety security period not determined due to the mode of use)  wheat (0.5mg/kg safety security period not determined due to the mode of use). Maturing application in cultures of sugarcane (0.5mg/kg safety security period of 30 days).  </t>
  </si>
  <si>
    <t>Post-emergency application in cultures of cotton (0.5mg/kg safety security period of 50 days)  garlic (0.5mg/kg safety security period of 40 days)  potato (0.5mg/kg safety security period of 40 days)  sweet potato (0.5mg/kg safety security period of 180 days)  yacon potato (0.5mg/kg safety security period of 180 days)  eggplant (0.5mg/kg safety security period of 20 days)  beet (0.5mg/kg safety security period of 180 days)  coffee (0.5mg/kg safety security period of 20 days)  yams (0.5mg/kg safety security period of 180 days)  onion (0.5mg/kg safety security period of 40 days)  carrot (0.5mg/kg safety security period of 40 days)  bean (0.5mg/kg safety security period of 40 days)  tobacco (non-food use)  ginger (0.5mg/kg safety security period of 180 days)  sunflower (0.05mg/kg safety security period of 53 days)  cocoyam (0.5mg/kg safety security period of 180 days)  scarlet eggplant (0.5mg/kg safety security period of 20 days)  apple (0.05mg/kg safety security period of 23 days)  cassava (0.5mg/kg safety security period of 180 days)  arracacha (0.5mg/kg safety security period of 180 days)  watermelon (0.5mg/kg safety security period of 20 days)  turnip (0.5mg/kg safety security period of 180 days)  pepper (0.5mg/kg safety security period of 20 days)  green pepper (0.5mg/kg safety security period of 20 days)  okra (0.5mg/kg safety security period of 20 days)  radish (0.5mg/kg safety security period of 180 days)  soy (1.0mg/kg safety security period of 60 days)  tomato (0.5mg/kg safety security period of 20 days)  grape (0.05mg/kg safety security period of 23 days). Pre-emergency application in cultures of corn (0.5mg/kg safety security period not determined due to the mode of use)  wheat (0.5mg/kg safety security period not determined due to the mode of use). Maturing application in cultures of sugarcane (0.5mg/kg safety security period of 30 days)</t>
  </si>
  <si>
    <t>G/SPS/N/QAT/54</t>
  </si>
  <si>
    <t>Extraction solvents and its residue limits in the production of foodstuffs and food ingredients</t>
  </si>
  <si>
    <t>This draft technical regulation applies to extraction solvents used in the production of foodstuffs or food ingredients. Unless product specifications state the opposite.</t>
  </si>
  <si>
    <t>G/SPS/N/CHN/875</t>
  </si>
  <si>
    <t>This regulation establishes 108 maximum residue limits (MRLs) for 56 pesticides  including 2 4-D butylate  etc. in foods.</t>
  </si>
  <si>
    <t>G/SPS/N/EU/127</t>
  </si>
  <si>
    <t>Draft Commission Regulation amending and correcting Regulation (EU) No. 10/2011 on plastic materials and articles intended to come into contact with food (Text with EEA relevance)</t>
  </si>
  <si>
    <t>The proposed Commission Regulation would amend Commission Regulation (EU) No. 10/2011 on plastic materials and articles intended to come into contact with food. Regulation (EU) No. 10/2011 is a specific Regulation within the framework Regulation (EC) No. 1935/2004. The latter sets out principles and procedures applicable to food contact materials. This amendment changes the enacting terms  adds 8 substances [FCM 871:dodecanoic acid  12-amino-  polymer with ethene  2 5-furandione  &amp;#945 -hydro-&amp;#969 -hydroxypoly (oxy-1 2-ethanediyl) and 1-propene  FCM 1031: furan-2 5-dicarboxylic acid  FCM 1034: 1 7-octadiene  FCM 1045: perfluoro{acetic acid  2-[(5-methoxy-1 3-dioxolan-4-yl)oxy]}  ammonium salt  FCM 1048: ethylene glycol dipalmitate  FCM 1051: N N'-bis(2 2 6 6-tetramethyl-4-piperidinyl) Isophthalamide  FCM 1052: 2 4 8 10-tetraoxaspiro[5.5] undecane-3 9-diethanol &amp;#946 3 &amp;#946 3 &amp;#946 9 &amp;#946 9-tetramethyl- ('SPG')  FCM 1053: fatty acids  C16-18 saturated  esters with dipentaerythritol] to Table 1 of Annex 1 (list of approved substances) and sets new limits for aluminium  nickel and zinc. It also proposes to set migration limits for oligomers related to three substances and would require that methods to detect these oligomers are publicly available before the substances can be used. Moreover the amendment would define rubber for the purpose of the Regulation and prolong the derogation  for the use of constituents of silicone sizing agents is applicable.</t>
  </si>
  <si>
    <t>Materials and articles in contact with food including catering containers and materials and articles in contact with drinking water (HS Codes: 3919  3920  3923  3924)  (ICS Code: 67.250)</t>
  </si>
  <si>
    <t>G/SPS/N/TPKM/314/Rev.1/Add.1</t>
  </si>
  <si>
    <t xml:space="preserve"> HS codes: 380840 </t>
  </si>
  <si>
    <t>G/SPS/N/TPKM/353</t>
  </si>
  <si>
    <t>Admendments of Standards for Specification  Scope  Application and Limitation of potassium fluoride and sodium fluoride.</t>
  </si>
  <si>
    <t>G/SPS/N/AUS/357</t>
  </si>
  <si>
    <t>Proposal to Amend Standard 1.4.2 of the Australia New Zealand Food Standards Code (21 April 2015 - Proposed amendment (Agricultural and Veterinary Chemicals Code Instrument No. 4 (MRL Standard) Amendment Instrument 2015 (No. 3)))</t>
  </si>
  <si>
    <t>G/SPS/N/USA/2754</t>
  </si>
  <si>
    <t>E. &amp; J. Gallo Winery  Filing of Color Additive Petition  Notice of Petition</t>
  </si>
  <si>
    <t>The Food and Drug Administration is announcing that it has filed a petition  submitted by E. &amp; J. Gallo Winery  proposing that the color additive regulations be amended to provide for the safe use of mica-based pearlescent pigments as color additives in certain distilled spirits. The color additive petition was filed on 19 March 2015.</t>
  </si>
  <si>
    <t>Beverages  Food additives  Food safety  Human health</t>
  </si>
  <si>
    <t>G/SPS/N/EU/84/Add.1</t>
  </si>
  <si>
    <t xml:space="preserve"> HS codes: 0202  0204  0201  1006  1001  0210  0206  0203  0209  0208  1005  0207  1008  1007  1004  0205  1002  1003 </t>
  </si>
  <si>
    <t>G/SPS/N/VNM/59/Add.1</t>
  </si>
  <si>
    <t>Imported foodstuff of plant origin</t>
  </si>
  <si>
    <t xml:space="preserve"> HS codes: 07  08 </t>
  </si>
  <si>
    <t>G/SPS/N/VNM/67</t>
  </si>
  <si>
    <t>Circular on List of micronutrients allowed to be added for food products</t>
  </si>
  <si>
    <t>List of micronutrients allowed to be added for food products.</t>
  </si>
  <si>
    <t>Vitamins  minerals  micronutrients in foodstuff</t>
  </si>
  <si>
    <t>G/SPS/N/SAU/154</t>
  </si>
  <si>
    <t>The Kingdom of Saudi Arabia/The Cooperation Council for the Arab States of the Gulf Draft Technical Regulation for: "Extraction solvents and its residue limits in the production foodstuffs and food ingredients"</t>
  </si>
  <si>
    <t>Extraction solvents and its residue limits in the production of foodstuffs and food ingredients (ICS Code: 67.040 )</t>
  </si>
  <si>
    <t>G/SPS/N/KOR/499</t>
  </si>
  <si>
    <t>Proposed Amendments to the Guideline of Inspection of Imported food</t>
  </si>
  <si>
    <t>The proposed amendments are seek to revise the list of items which is free of non-compliance records with the standards and specifications for foods for the past 5 years  and thus are classified as document inspection when imported.</t>
  </si>
  <si>
    <t>Food Products</t>
  </si>
  <si>
    <t>G/SPS/N/KOR/500</t>
  </si>
  <si>
    <t>Proposed Amendments to the Guideline of Inspection of Imported Health Functional food</t>
  </si>
  <si>
    <t xml:space="preserve">The proposed amendments are seek to revise the requirements of identical health functional foods which have non-compliance records previously. </t>
  </si>
  <si>
    <t>G/SPS/N/USA/691/Add.14</t>
  </si>
  <si>
    <t>G/SPS/N/EU/93/Add.1</t>
  </si>
  <si>
    <t xml:space="preserve"> HS codes: 1008  0208  1005  0206  1007  0210  0209  0201  1003  1004  1002  0202  0204  1006  0203  1001  0205  0207 </t>
  </si>
  <si>
    <t>G/SPS/N/TUR/9/Add.1</t>
  </si>
  <si>
    <t>Animal diseases  Animal feed  Animal health  Animal welfare  Certification  control and inspection  Contaminants  Food safety  Human health  Pests  Plant health  Veterinary drugs</t>
  </si>
  <si>
    <t>G/SPS/N/EU/126</t>
  </si>
  <si>
    <t xml:space="preserve">Commission Regulation (EU) No 2015/463 of 19 March 2015 amending Annex to Commission Regulation (EU) No. 231/2012 laying down specifications for food additives listed in Annexes II and III to Regulation (EC) No. 1333/2008 of the European Parliament and of the Council as regards specifications for Polyvinyl alcohol (E 1203) (Text with EEA relevance) </t>
  </si>
  <si>
    <t>Amendment of the description of the solubility of the food additive polyvinyl alcohol (E 1203) in ethanol (&gt; or = 99.8 %) to practically insoluble or insoluble.</t>
  </si>
  <si>
    <t>Food additives (HS Code: 67.220.20)</t>
  </si>
  <si>
    <t>G/SPS/N/OMN/44/Rev.1</t>
  </si>
  <si>
    <t>Gulf Cooperation Council (GCC) Guide for Control on Imported Foods</t>
  </si>
  <si>
    <t xml:space="preserve">This Guide describes principles and regulatory requirements to be applied by the importing (GCC) countries in assuring the safety and suitability of shipments of imported food.  Specific attestations for animal and plant health certification are also provided in the Guide. The Guide incorporates Codex  OIE  IPPC standards as international benchmarks where appropriate.  There is ongoing work in GCC countries to harmonize all regulatory requirements for imported foods and provide a coordinated and efficient border inspection and clearance system. While regulatory requirements and procedures for imported foods are not as yet fully harmonized between the countries of the GCC  this Guide will contribute to the harmonization process. In particular  the countries of the GCC will continue to work towards a fully risk-based approach to assure the safety of imported foods. </t>
  </si>
  <si>
    <t>All imported food - Specific certificates for animals: animal products (meat and its derivatives). - Bird products and derivative products. - Fish and products and their derivatives. - Phytosanitary: plant products and their derivatives and products.</t>
  </si>
  <si>
    <t xml:space="preserve"> HS codes: 03  02 </t>
  </si>
  <si>
    <t>Food safety  Protect territory from other damage from pests</t>
  </si>
  <si>
    <t>G/SPS/N/BRA/1025</t>
  </si>
  <si>
    <t xml:space="preserve">Draft resolution regarding the active ingredient I13 IMIDACLOPRID of the monograph list of active ingredients for pesticides  household cleaning products and wood preservers  published by Resolution - RE n° 165 of 29 August 2003  Brazilian Official Gazette (DOU Diário Oficial da União) of 2 September 2003 Inclusion of cultures of pastures (7.0mg/kg safety security period of 11 days)  on foliar application. </t>
  </si>
  <si>
    <t xml:space="preserve">Foliar application in cultures of lettuce (0.5mg/kg safety security period of 14 days)  on cotton leaves (0.5mg/kg safety security period of 30 days)  garlic (0.05mg/kg safety security period of 30 days)  bitter chicory (0.01mg/kg safety security period of 14 days)  banana (0.1mg/kg safety security period of 7 days)  potato (0.05mg/kg safety security period of 21 days)  eggplant (0.5mg/kg safety security period of 7 days)  sugarcane (0.4mg/kg safety security period of 30 days)  onion (0.05mg/kg safety security period of 21 days)  citrus (1.0mg/kg safety security period of 21 days)  kale (2.0mg/kg safety security period of 14 days)  chrysanthemum (non-food use)  eucalyptus (non-food use)  bean (0.07mg/kg safety security period of 21 days)  tobacco (non-food use)  gerbera (non-food use)  guava (0.1mg/kg safety security period of 7 days)  scarlet eggplant (0.05mg/kg safety security period of 7 days)  papaya (2.0mg/kg safety security period of 7 days)  mango (0.7mg/kg safety security period of 7 days)  passion fruit (0.2mg/kg safety security period of 7 days)  watermelon (0.2mg/kg safety security period of 7 days)  corn (0.5mg/kg safety security period of 30 days)  Indian fig (0.5mg/kg safety security period of 16 days)  pastures (7.0mg/kg safety security period of 11 days)  cucumber (0.2mg/kg safety security period of 7 days)  green pepper (0.5mg/kg safety security period of 7 days)  pine (non-food use)  poinsettia (non-food use)  soy (0.1mg/kg safety security period of 21 days)  tomato (0.5mg/kg safety security period of 7 days)  wheat (0.5mg/kg safety security period of 30 days)  grape (1.0mg/kg safety security period of 7 days). Foliar (seedlings) application in cultures of pineapple (0.05mg/kg safety security period of 75 days)  pumpkin (0.05mg/kg safety security period of 40 days)  zucchini (0.05mg/kg safety security period of 40 days)  broccoli (0.01mg/kg safety security period of 82 days)  chicory (0.01mg/kg safety security period of 14 days)  cauliflower (0.05mg/kg safety security period of 82 days)  watermelon (0.2mg/kg safety security period of 40 days)  melon (0.2mg/kg safety security period of 14 days)  cucumber (0.2mg/kg safety security period of 40 days)  cabbage (0.05mg/kg safety security period of 50 days). Seeds application on cotton seeds (0.5mg/kg safety security period not determined due to the mode of use)  in cultures of peanut (0.05mg/kg safety security period not determined due to the mode of use)  rice (0.05mg/kg safety security period not determined due to the mode of use)  oat (0.05mg/kg safety security period not determined due to the mode of use)  barley (0.05mg/kg safety security period not determined due to the mode of use)  bean (0.07mg/kg safety security period not determined due to the mode of use)  sunflower (0.1mg/kg safety security period not determined due to the mode of use)  castor beans (non-food use)  corn (0.5mg/kg safety security period not determined due to the mode of use)  soy (0.1mg/kg safety security period not determined due to the mode of use)  sorghum (0.1mg/kg safety security period not determined due to the mode of use)  wheat (0.5mg/kg safety security period not determined due to the mode of use). Trunk application in cultures of coffee (0.07mg/kg safety security period of 45 days)  citrus (1.0mg/kg safety security period of 21 days)  papaya (2.0mg/kg safety security period of 60 days)  peach (0.1mg/kg safety security period of 30 days)  grape (1.0mg/kg safety security period of 60 days). Soil application in cultures of coffee (0.07mg/kg safety security period of 45 days)  sugarcane (0.4mg/kg safety security period not determined due to the mode of use)  citrus (1.0mg/kg safety security period of 21 days)  eucalyptus (non-food use)  tobacco (non-food use)  pine (non-food use).   </t>
  </si>
  <si>
    <t>Foliar application in cultures of lettuce (0.5mg/kg safety security period of 14 days)  on cotton leaves (0.5mg/kg safety security period of 30 days)  garlic (0.05mg/kg safety security period of 30 days)  bitter chicory (0.01mg/kg safety security period of 14 days)  banana (0.1mg/kg safety security period of 7 days)  potato (0.05mg/kg safety security period of 21 days)  eggplant (0.5mg/kg safety security period of 7 days)  sugarcane (0.4mg/kg safety security period of 30 days)  onion (0.05mg/kg safety security period of 21 days)  citrus (1.0mg/kg safety security period of 21 days)  kale (2.0mg/kg safety security period of 14 days)  chrysanthemum (non-food use)  eucalyptus (non-food use)  bean (0.07mg/kg safety security period of 21 days)  tobacco (non-food use)  gerbera (non-food use)  guava (0.1mg/kg safety security period of 7 days)  scarlet eggplant (0.05mg/kg safety security period of 7 days)  papaya (2.0mg/kg safety security period of 7 days)  mango (0.7mg/kg safety security period of 7 days)  passion fruit (0.2mg/kg safety security period of 7 days)  watermelon (0.2mg/kg safety security period of 7 days)  corn (0.5mg/kg safety security period of 30 days)  Indian fig (0.5mg/kg safety security period of 16 days)  pastures (7.0mg/kg safety security period of 11 days)  cucumber (0.2mg/kg safety security period of 7 days)  green pepper (0.5mg/kg safety security period of 7 days)  pine (non-food use)  poinsettia (non-food use)  soy (0.1mg/kg safety security period of 21 days)  tomato (0.5mg/kg safety security period of 7 days)  wheat (0.5mg/kg safety security period of 30 days)  grape (1.0mg/kg safety security period of 7 days). Foliar (seedlings) application in cultures of pineapple (0.05mg/kg safety security period of 75 days)  pumpkin (0.05mg/kg safety security period of 40 days)  zucchini (0.05mg/kg safety security period of 40 days)  broccoli (0.01mg/kg safety security period of 82 days)  chicory (0.01mg/kg safety security period of 14 days)  cauliflower (0.05mg/kg safety security period of 82 days)  watermelon (0.2mg/kg safety security period of 40 days)  melon (0.2mg/kg safety security period of 14 days)  cucumber (0.2mg/kg safety security period of 40 days)  cabbage (0.05mg/kg safety security period of 50 days). Seeds application on cotton seeds (0.5mg/kg safety security period not determined due to the mode of use)  in cultures of peanut (0.05mg/kg safety security period not determined due to the mode of use)  rice (0.05mg/kg safety security period not determined due to the mode of use)  oat (0.05mg/kg safety security period not determined due to the mode of use)  barley (0.05mg/kg safety security period not determined due to the mode of use)  bean (0.07mg/kg safety security period not determined due to the mode of use)  sunflower (0.1mg/kg safety security period not determined due to the mode of use)  castor beans (non-food use)  corn (0.5mg/kg safety security period not determined due to the mode of use)  soy (0.1mg/kg safety security period not determined due to the mode of use)  sorghum (0.1mg/kg safety security period not determined due to the mode of use)  wheat (0.5mg/kg safety security period not determined due to the mode of use). Trunk application in cultures of coffee (0.07mg/kg safety security period of 45 days)  citrus (1.0mg/kg safety security period of 21 days)  papaya (2.0mg/kg safety security period of 60 days)  peach (0.1mg/kg safety security period of 30 days)  grape (1.0mg/kg safety security period of 60 days). Soil application in cultures of coffee (0.07mg/kg safety security period of 45 days)  sugarcane (0.4mg/kg safety security period not determined due to the mode of use)  citrus (1.0mg/kg safety security period of 21 days)  eucalyptus (non-food use)  tobacco (non-food use)  pine (non-food use)</t>
  </si>
  <si>
    <t>G/SPS/N/BRA/1024</t>
  </si>
  <si>
    <t xml:space="preserve">Draft resolution regarding the active ingredient C56 KRESOXIM-METHYL of the monograph list of active ingredients for pesticides  household cleaning products and wood preservers  published by Resolution - RE n° 165 of 29 August 2003  Brazilian Official Gazette (DOU Diário Oficial da União) of 2 September 2003 Inclusion of cultures of banana (0.01mg/kg safety security period of 1 day) and carrot (0.01mg/kg safety security period of 7 days) on foliar application. </t>
  </si>
  <si>
    <t>Foliar application in cultures of Barbados cherry (1.0mg/kg safety security period of 1 day)  garlic (0.01mg/kg safety security period of 7 days)  on cotton leaves (0.05mg/kg safety security period of 14 days)  rice (0.02mg/kg safety security period of 45 days)  banana (0.01mg/kg safety security period of 1 day)  potato (0.1mg/kg safety security period of 7 days)  eggplant (0.05mg/kg safety security period of 3 days)  coffee (0.05mg/kg safety security period of 45 days)  onion (0.01mg/kg safety security period of 7 days)  carrot (0.01mg/kg safety security period of 7 days)  barley (0.05mg/kg safety security period of 30 days)  chrysanthemum (non-food use)  bean (0.05mg/kg safety security period of 14 days)  raspberry (1.0mg/kg safety security period of 1 day)  scarlet eggplant (0.05mg/kg safety security period of 3 days)  kiwi fruit (0.2mg/kg safety security period of 7 days)  apple (0.2mg/kg safety security period of 35 days)  mango (0.2mg/kg safety security period of 7 days)  passion fruit (0.2mg/kg safety security period of 7 days)  watermelon (0.01mg/kg safety security period of 7 days)  melon (0.1mg/kg safety security period of 7 days)  strawberry (1.0mg/kg safety security period of 1 day)  cucumber (0.1mg/kg safety security period of 7 days)  pepper (0.05mg/kg safety security period of 3 days)  green pepper (0.05mg/kg safety security period of 3 days)  okra (0.05mg/kg safety security period of 3 days)  rose (non-food use)  soy (0.05mg/kg safety security period of 14 days)  tomato (0.1mg/kg safety security period of 3 days)  wheat (0.05mg/kg safety security period of 30 days)  grape (0.5mg/kg safety security period of 21 days).</t>
  </si>
  <si>
    <t>Foliar application in cultures of Barbados cherry (1.0mg/kg safety security period of 1 day)  garlic (0.01mg/kg safety security period of 7 days)  on cotton leaves (0.05mg/kg safety security period of 14 days)  rice (0.02mg/kg safety security period of 45 days)  banana (0.01mg/kg safety security period of 1 day)  potato (0.1mg/kg safety security period of 7 days)  eggplant (0.05mg/kg safety security period of 3 days)  coffee (0.05mg/kg safety security period of 45 days)  onion (0.01mg/kg safety security period of 7 days)  carrot (0.01mg/kg safety security period of 7 days)  barley (0.05mg/kg safety security period of 30 days)  chrysanthemum (non-food use)  bean (0.05mg/kg safety security period of 14 days)  raspberry (1.0mg/kg safety security period of 1 day)  scarlet eggplant (0.05mg/kg safety security period of 3 days)  kiwi fruit (0.2mg/kg safety security period of 7 days)  apple (0.2mg/kg safety security period of 35 days)  mango (0.2mg/kg safety security period of 7 days)  passion fruit (0.2mg/kg safety security period of 7 days)  watermelon (0.01mg/kg safety security period of 7 days)  melon (0.1mg/kg safety security period of 7 days)  strawberry (1.0mg/kg safety security period of 1 day)  cucumber (0.1mg/kg safety security period of 7 days)  pepper (0.05mg/kg safety security period of 3 days)  green pepper (0.05mg/kg safety security period of 3 days)  okra (0.05mg/kg safety security period of 3 days)  rose (non-food use)  soy (0.05mg/kg safety security period of 14 days)  tomato (0.1mg/kg safety security period of 3 days)  wheat (0.05mg/kg safety security period of 30 days)  grape (0.5mg/kg safety security period of 21 days)</t>
  </si>
  <si>
    <t>G/SPS/N/BRA/1022</t>
  </si>
  <si>
    <t>Foliar application in cultures of chard (11.0mg/kg safety security period of 3 days)  Barbados cherry (5.0mg/kg safety security period of 1 day)  lettuce (11.0mg/kg safety security period of 3 days)  bitter chicory (11.0mg/kg safety security period of 3 days)  garlic (0.05mg/kg safety security period of 7 days)  black mulberry (5.0mg/kg safety security period of 1 day)  banana (0.1mg/kg safety security period of 1 day)  potato (0.05mg/kg safety security period of 3 days)  eggplant (0.5mg/kg safety security period of 3 days)  coffee (0.05mg/kg safety security period of 45 days)  onion (0.05mg/kg safety security period of 7 days)  carrot (0.1mg/kg safety security period of 7 days)  chicory (11.0mg/kg safety security period of 3 days)  chrysanthemum (non-food use)  spinach (11.0mg/kg safety security period of 3 days)  bean (0.01mg/kg safety security period of 14 days)  raspberry (5.0mg/kg safety security period of 1 day)  scarlet eggplant (0.5mg/kg safety security period of 3 days)  kiwi fruit (1.0mg/kg safety security period of 7 days)  mango (1.0mg/kg safety security period of 7 days)  passion fruit (1.0mg/kg safety security period of 7 days)  watermelon (0.5mg/kg safety security period of 7 days)  melon (0.5mg/kg safety security period of 7 days)  strawberry (5.0mg/kg safety security period of 1 day)  mustard (11.0mg/kg safety security period of 3 days)  cucumber (0.05mg/kg safety security period of 7 days)  pepper (0.5mg/kg safety security period of 3 days)  green pepper (0.5mg/kg safety security period of 3 days)  okra (0.5mg/kg safety security period of 3 days)  rose (non-food use)  red mombin (5.0mg/kg safety security period of 1 day)  tomato (0.05mg/kg safety security period of 1 day)  grape (3.0mg/kg safety security period of 21 days).</t>
  </si>
  <si>
    <t>G/SPS/N/BRA/1021</t>
  </si>
  <si>
    <t>Draft resolution regarding the active ingredient A18 ABAMECTIN of the monograph list of active ingredients for pesticides  household cleaning products and wood preservers  published by Resolution - RE n° 165 of 29 August 2003  Brazilian Official Gazette (DOU Diário Oficial da União) of 2 September 2003</t>
  </si>
  <si>
    <t>Foliar application on cotton leaves (0.005mg/kg safety security period of 21 days)  in cultures of potato (0.005mg/kg safety security period of 14 days)  coffee (0.002mg/kg safety security period of 14 days)  onion (0.02mg/kg safety security period of 3 days)  citrus (0.005mg/kg safety security period of 7 days)  coconut (0.005mg/kg safety security period of 14 days)  carnation (non-food use)  chrysanthemum (non-food use)  pea (0.005mg/kg safety security period of 4 days)  bean (0.005mg/kg safety security period of 14 days)  snap beans (0.005mg/kg safety security period of 4 days)  fig (0.005mg/kg safety security period of 7 days)  apple (0.01mg/kg safety security period of 14 days)  papaya (0.005mg/kg safety security period of 14 days)  mango (0.01mg/kg safety security period of 7 days)  watermelon (0.01mg/kg safety security period of 7 days)  melon (0.005mg/kg safety security period of 7 days)  strawberry (0.02mg/kg safety security period of 3 days)  cucumber (0.01mg/kg safety security period of 3 days)  pear (0.005mg/kg safety security period of 7 days)  peach (0.02mg/kg safety security period of 21 days)  green pepper (0.01mg/kg safety security period of 3 days)  rose (non-food use)  soy (0.01mg/kg safety security period of 21 days)  tomato (0.01mg/kg safety security period of 3 days)  grape (0.03mg/kg safety security period of 7 days). Seeds application on cotton seeds (0.005mg/kg safety security period not determined due to the mode of use)  in cultures of onion (0.02mg/kg safety security period not determined due to the mode of use)  carrot (0.005mg/kg safety security period not determined due to the mode of use)  watermelon (0.01mg/kg safety security period not determined due to the mode of use)  melon (0.005mg/kg safety security period not determined due to the mode of use)  corn (0.005mg/kg safety security period not determined due to the mode of use)  soy (0.01mg/kg safety security period not determined due to the mode of use)  tomato (0.01mg/kg safety security period not determined due to the mode of use). Bulbils application in cultures of garlic (0.005mg/kg safety security period not determined due to the mode of use). Soil application in cultures of tomato (0.01mg/kg safety security period not determined due to the mode of use). Industrial treatment of vegetative propagules (seedlings) before planting (0.005mg/kg safety security period not determined due to the mode of use).</t>
  </si>
  <si>
    <t xml:space="preserve">Foliar application on cotton leaves (0.005mg/kg safety security period of 21 days)  in cultures of potato (0.005mg/kg safety security period of 14 days)  coffee (0.002mg/kg safety security period of 14 days)  onion (0.02mg/kg safety security period of 3 days)  citrus (0.005mg/kg safety security period of 7 days)  coconut (0.005mg/kg safety security period of 14 days)  carnation (non-food use)  chrysanthemum (non-food use)  pea (0.005mg/kg safety security period of 4 days)  bean (0.005mg/kg safety security period of 14 days)  snap beans (0.005mg/kg safety security period of 4 days)  fig (0.005mg/kg safety security period of 7 days)  apple (0.01mg/kg safety security period of 14 days)  papaya (0.005mg/kg safety security period of 14 days)  mango (0.01mg/kg safety security period of 7 days)  watermelon (0.01mg/kg safety security period of 7 days)  melon (0.005mg/kg safety security period of 7 days)  strawberry (0.02mg/kg safety security period of 3 days)  cucumber (0.01mg/kg safety security period of 3 days)  pear (0.005mg/kg safety security period of 7 days)  peach (0.02mg/kg safety security period of 21 days)  green pepper (0.01mg/kg safety security period of 3 days)  rose (non-food use)  soy (0.01mg/kg safety security period of 21 days)  tomato (0.01mg/kg safety security period of 3 days)  grape (0.03mg/kg safety security period of 7 days). Seeds application on cotton seeds (0.005mg/kg safety security period not determined due to the mode of use)  in cultures of onion (0.02mg/kg safety security period not determined due to the mode of use)  carrot (0.005mg/kg safety security period not determined due to the mode of use)  watermelon (0.01mg/kg safety security period not determined due to the mode of use)  melon (0.005mg/kg safety security period not determined due to the mode of use)  corn (0.005mg/kg safety security period not determined due to the mode of use)  soy (0.01mg/kg safety security period not determined due to the mode of use)  tomato (0.01mg/kg safety security period not determined due to the mode of use). Bulbils application in cultures of garlic (0.005mg/kg safety security period not determined due to the mode of use). Soil application in cultures of tomato (0.01mg/kg safety security period not determined due to the mode of use). Industrial treatment of vegetative propagules (seedlings) before planting (0.005mg/kg safety security period not determined due to the mode of use). </t>
  </si>
  <si>
    <t>G/SPS/N/EU/71/Add.1</t>
  </si>
  <si>
    <t>G/SPS/N/MYS/36</t>
  </si>
  <si>
    <t>Draft Amendment of Regulation 41 and Sixteenth Schedule  Food Regulations 1985: Pesticide Residue</t>
  </si>
  <si>
    <t>The purpose of this amendment is to harmonize the Maximum Residue Limits (MRLs) of the pesticide residues under the Food Regulations 1985 (FR 1985) with the ASEAN Harmonised MRLs. The amendment also includes the addition of Table II (Restricted pesticide) and Table III (Banned pesticide) under the Sixteenth Schedule of the FR 1985.</t>
  </si>
  <si>
    <t>G/SPS/N/KOR/497</t>
  </si>
  <si>
    <t>Republic of Korea is proposing to amend the "Standards and Specifications for the Food Additives". 1) The definition of following five food additives are revised: Glucose oxidase  cellulase  D-xylose  tamarind gum  pullulanase  2) The specification of "alkalies or magnesium" for "calcium oxide" is revised   3) The maximum use levels of  16 food colour additives are established: Fast green FCF and its aluminium lake  amaranth and its aluminium lake  erythrosine  allura red and its aluminium lake  ponceau 4R  brilliant blue FCF and its aluminium lake   indigocarmine and its aluminium lake  tartrazine and its aluminium lake  sunset yellow FCF and its aluminium lake  4) The standards for the use of the following two food additives are revised: Iron reduced  gold leaf.</t>
  </si>
  <si>
    <t>G/SPS/N/EU/124</t>
  </si>
  <si>
    <t>Annexes to Draft Commission Regulation amending Annexes II and III to Regulation (EC) No 396/2005 of the European Parliament and of the Council as regards maximum residue levels for abamectin  desmedipham  dichlorprop-P  haloxyfop-P  oryzalin and phenmedipham in or on certain products (Text with EEA relevance)</t>
  </si>
  <si>
    <t>These notified annexes to the draft Regulation set proposed maximum residue levels (MRLs) for abamectin  desmedipham  dichlorprop-P  haloxyfop-P  oryzalin and phenmedipham in Annexes II and III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</si>
  <si>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1004  0205  1001  1008  0208  0209  0204  0206  0201  1006  0203  1007  0207  0202  1002  1005  1003  0210 </t>
  </si>
  <si>
    <t>G/SPS/N/USA/2156/Add.6</t>
  </si>
  <si>
    <t>G/SPS/N/USA/2749</t>
  </si>
  <si>
    <t>Natural Resources Defense Council et al.  Filing of Food Additive Petition  Notice of Petition</t>
  </si>
  <si>
    <t xml:space="preserve">The Food and Drug Administration is announcing that it has filed a petition  submitted by the Natural Resources Defense Council  the Center for Food Safety  the Breast Cancer Fund  the Center for Environmental Health  Clean Water Action  the Center for Science in the Public Interest  Children's Environmental Health Network  Environmental Working Group  and Improving Kids' Environment  proposing that it amends its food additive regulation to no longer provide for the use of three specific perfluoroalkyl ethyl containing food contact substances (FCSs) as oil and water repellants for paper and paperboard for use in contact with aqueous and fatty foods. </t>
  </si>
  <si>
    <t>G/SPS/N/USA/2748</t>
  </si>
  <si>
    <t xml:space="preserve">The Food and Drug Administration is announcing that it has filed a petition  submitted by the Natural Resources Defense Council  Center for Food Safety  Clean Water Action  Children's Environmental Health Network  Center for Science in the Public Interest  Breast Cancer Fund  Center for Environmental Health  Environmental Working Group  and Improving Kids' Environment  proposing that it amends its regulation to no longer provide for the use of potassium perchlorate as an additive in closure-sealing gaskets for food containers  revoke the Threshold of Regulation exemption No. 2005-006 to no longer exempt the use of sodium perchlorate monohydrate as a conductivity enhancer in antistatic agents for use in finished articles in contact with dry foods  and issue a new regulation to prohibit the use of perchlorate in antistatic agents for use in food-contact articles. </t>
  </si>
  <si>
    <t>HS Code: 39   ICS Code: 67  Food contact materials</t>
  </si>
  <si>
    <t xml:space="preserve"> HS codes: 39 </t>
  </si>
  <si>
    <t>G/SPS/N/EEC/364/Add.1</t>
  </si>
  <si>
    <t>Products containing milk  milk products  soya  or soya products intended for particular nutritional use for infants and young children: - ammonium carbonate intended for food and feed  - feed and food containing milk  milk products  soya and soya products  - feed and food products containing milk  milk products  soya or soya products.</t>
  </si>
  <si>
    <t xml:space="preserve"> HS codes: 0401  190110  0402 </t>
  </si>
  <si>
    <t>G/SPS/N/USA/2721/Add.1</t>
  </si>
  <si>
    <t>G/SPS/N/CAN/906/Add.1</t>
  </si>
  <si>
    <t>Pesticide Clethodim in or on various food commodities (ICS Code: 65.020  65.100  67.080  67.100  67.120)</t>
  </si>
  <si>
    <t>Adoption/publication/entry into force of reg.  Food safety  Human health  Maximum residue limits (MRLs)  Pesticides</t>
  </si>
  <si>
    <t>G/SPS/N/MYS/34</t>
  </si>
  <si>
    <t>New Regulation 27B  Food Regulations 1985:  Plastic Materials and Articles</t>
  </si>
  <si>
    <t>The regulation provides the maximum proportion of release of chemical substances and specific migration limit or total specific migration limit to ensure that plastic materials and articles that are intended to come into contact with food  already in contact with food or which can reasonably be expected to come into contact with food meet with the minimum safety requirements.</t>
  </si>
  <si>
    <t xml:space="preserve"> HS codes: 3920  3924  3919  3923 </t>
  </si>
  <si>
    <t>G/SPS/N/EU/122</t>
  </si>
  <si>
    <t>Commission Implementing Regulation (EU) 2015/329 of 2 March 2015 derogating from Union provisions on animal and public health as regards the introduction into the European Union of food of animal origin destined for EXPO Milano 2015 in Milan (Italy) (Text with EEA relevance)</t>
  </si>
  <si>
    <t>Italy will host the universal exhibition named "EXPO Milano 2015" which will take place in Milan from 1 May to 31 October 2015. About 150 countries will participate in the "EXPO Milano 2015" and  in relation with this event  it is expected that food products  including products of animal origin  will have to be introduced into the Union from third countries. Not all the countries planning to take part in "EXPO Milano 2015" are fully authorized to export products of animal origin to the EU. Therefore certain derogations are established to the current EU import health requirements in order to authorize the introduction of those products exclusively for the purpose of their use in "EXPO Milano 2015". Any of the non-conform products shall not be consumed or marketed outside "EXPO Milano 2015".</t>
  </si>
  <si>
    <t>Food products  including products of animal origin (except bivalve molluscs)</t>
  </si>
  <si>
    <t>G/SPS/N/THA/228</t>
  </si>
  <si>
    <t xml:space="preserve">Draft Thai Agricultural Standard entitled "Good Manufacturing Practices for Milk Collection Center"  </t>
  </si>
  <si>
    <t xml:space="preserve">This standard establishes requirements on good manufacturing practices for milk collection center  covering from raw milk receiving  cooling  storage  to transportation  including farming extension in order to obtain raw milk with quality suitable for processing into product that meets the standard and is safe for consumers. Also  the following requirements for milk collection center are specified: (Requirements  Establishment and Facilities  Control Operation  Maintenance and sanitation  Personal Hygiene  Transportation  Traceability  Training  Farming extension  system for members and Documentation and records). </t>
  </si>
  <si>
    <t>Food safety  Human health  Traceability</t>
  </si>
  <si>
    <t>G/SPS/N/IND/97</t>
  </si>
  <si>
    <t>Food Safety and Standard (Food Product Standard and Food Additives) Amendment Regulation  2015 and Food Safety and Standards (Packaging and Labelling) Amendment Regulation  2015 dated 28 January 2015</t>
  </si>
  <si>
    <t>The draft Food Safety and Standard (Food Product Standard and Food Additives) Amendment Regulation  2015  details the standards of gluten and non-gluten foods. [Food Safety and Standards (Food Product Standard and Food Additives) Regulation  2011: Regulation 2.13  2.14  2.15] The draft Food Safety and Standards (Packaging and Labelling) Amendment Regulation  2015 specifies the label declaration requirements of gluten and non-gluten foods on food packages. [Food Safety and Standards (Packaging and Labelling) Regulation  2011: Regulation 2.4.5]</t>
  </si>
  <si>
    <t>Gluten and non-gluten foods</t>
  </si>
  <si>
    <t>Food safety  Human health  Labelling  Packaging</t>
  </si>
  <si>
    <t>G/SPS/N/BRA/1020</t>
  </si>
  <si>
    <t>Draft resolution regarding the active ingredient C74 CYANTRANILIPROLE of the monograph list of active ingredients for pesticides  household cleaning products and wood preservers  published by Resolution - RE n° 165 of 29 August 2003  Brazilian Official Gazette (DOU Diário Oficial da União) of 2 September 2003</t>
  </si>
  <si>
    <t xml:space="preserve">Foliar application in cultures of pumpkin (0.07mg/kg safety security period of 1 day)  zucchini (0.07mg/kg safety security period of 1 day)  watercress (0.5mg/kg safety security period of 1 day)  lettuce (0.5mg/kg safety security period of 1 day)  on cotton leaves (0.01mg/kg safety security period of 21 days)  leek (0.5mg/kg safety security period of 1 day)  chicory (0.5mg/kg safety security period of 1 day)  potato (0.01mg/kg safety security period of 7 days)  eggplant (0.03mg/kg safety security period of 1 day)  broccoli (0.01mg/kg safety security period of 1 day)  coffee (0.01mg/kg safety security period of 28 days)  chive (0.5mg/kg safety security period of 1 day)  chicory root (0.5mg/kg safety security period of 1 day)  chayote (0.07mg/kg safety security period of 1 day)  citrus (0.5mg/kg safety security period of 21 days)  coriander (0.5mg/kg safety security period of 1 day)  kale (0.01mg/kg safety security period of 1 day)  Chinese cabbage (0.01mg/kg safety security period of 1 day)  Brussels sprouts (0.01mg/kg safety security period of 1 day)  cauliflower (0.01mg/kg safety security period of 1 day)  spinach (0.5mg/kg safety security period of 1 day)  bean (0.01mg/kg safety security period of 7 days)  scarlet eggplant (0.03mg/kg safety security period of 1 day)  basil (0.5mg/kg safety security period of 1 day)  West Indian gherkin (0.07mg/kg safety security period of 1 day)  watermelon (0.03mg/kg safety security period of 1 day)  melon (0.07mg/kg safety security period of 1 day)  cucumber (0.07mg/kg safety security period of 1 day)  pepper (0.03mg/kg safety security period of 1 day)  green pepper (0.03mg/kg safety security period of 1 day)  okra (0.07mg/kg safety security period of 1 day)  cabbage (0.01mg/kg safety security period of 1 day)  arugula (0.5mg/kg safety security period of 1 day)  sauce (0.5mg/kg safety security period of 1 day)  soy (0.01mg/kg safety security period of 28 days)  tomato (0.07mg/kg safety security period of 1 day). Foliar (seedlings) application in cultures of watercress (0.5mg/kg safety security period of 1 day)  lettuce (0.5mg/kg safety security period of 1 day)  leek (0.5mg/kg safety security period of 1 day)  chicory (0.5mg/kg safety security period of 1 day)  broccoli (0.01mg/kg safety security period of 1 day)  chive (0.5mg/kg safety security period of 1 day)  chicory root (0.5mg/kg safety security period of 1 day)  coriander (0.5mg/kg safety security period of 1 day)  kale (0.01mg/kg safety security period of 1 day)  Chinese cabbage (0.01mg/kg safety security period of 1 day)  Brussels sprouts (0.01mg/kg safety security period of 1 day)  cauliflower (0.01mg/kg safety security period of 1 day)  spinach (0.5mg/kg safety security period of 1 day)  basil (0.5mg/kg safety security period of 1 day)  cabbage (0.01mg/kg safety security period of 1 day)  arugula (0.5mg/kg safety security period of 1 day)  sauce (0.5mg/kg safety security period of 1 day)  tomato (0.07mg/kg safety security period of 1 day). Soil (seedlings) application in cultures of pumpkin (0.07mg/kg safety security period of 1 day)  zucchini (0.07mg/kg safety security period of 1 day)  eggplant (0.03mg/kg safety security period of 1 day)  chayote (0.07mg/kg safety security period of 1 day)  bean (0.01mg/kg safety security period of 7 days)  tobacco (non-food use)  scarlet eggplant (0.03mg/kg safety security period of 1 day)  West Indian gherkin (0.07mg/kg safety security period of 1 day)  melon (0.07mg/kg safety security period of 1 day)  cucumber (0.07mg/kg safety security period of 1 day)  pepper (0.03mg/kg safety security period of 1 day)  green pepper (0.03mg/kg safety security period of 1 day)  okra (0.07mg/kg safety security period of 1 day)  tomato (0.07mg/kg safety security period of 1 day). Soil (plant) application in cultures of coffee (0.01mg/kg safety security period of 28 days)  citrus (0.5mg/kg safety security period of 21 days). Soil (propagative material) application in cultures of potato (0.01mg/kg safety security period of 7 days). Seeds application on cotton seeds (0.01mg/kg safety security period not determined due to the mode of use)  corn (0.01mg/kg safety security not determined due to the mode of use)  soy (0.01mg/kg safety security period not determined due to the mode of use).                                                                                         </t>
  </si>
  <si>
    <t xml:space="preserve">Foliar application in cultures of pumpkin (0.07mg/kg safety security period of 1 day)  zucchini (0.07mg/kg safety security period of 1 day)  watercress (0.5mg/kg safety security period of 1 day)  lettuce (0.5mg/kg safety security period of 1 day)  on cotton leaves (0.01mg/kg safety security period of 21 days)  leek (0.5mg/kg safety security period of 1 day)  chicory (0.5mg/kg safety security period of 1 day)  potato (0.01mg/kg safety security period of 7 days)  eggplant (0.03mg/kg safety security period of 1 day)  broccoli (0.01mg/kg safety security period of 1 day)  coffee (0.01mg/kg safety security period of 28 days)  chive (0.5mg/kg safety security period of 1 day)  chicory root (0.5mg/kg safety security period of 1 day)  chayote (0.07mg/kg safety security period of 1 day)  citrus (0.5mg/kg safety security period of 21 days)  coriander (0.5mg/kg safety security period of 1 day)  kale (0.01mg/kg safety security period of 1 day)  Chinese cabbage (0.01mg/kg safety security period of 1 day)  Brussels sprouts (0.01mg/kg safety security period of 1 day)  cauliflower (0.01mg/kg safety security period of 1 day)  spinach (0.5mg/kg safety security period of 1 day)  bean (0.01mg/kg safety security period of 7 days)  scarlet eggplant (0.03mg/kg safety security period of 1 day)  basil (0.5mg/kg safety security period of 1 day)  West Indian gherkin (0.07mg/kg safety security period of 1 day)  watermelon (0.03mg/kg safety security period of 1 day)  melon (0.07mg/kg safety security period of 1 day)  cucumber (0.07mg/kg safety security period of 1 day)  pepper (0.03mg/kg safety security period of 1 day)  green pepper (0.03mg/kg safety security period of 1 day)  okra (0.07mg/kg safety security period of 1 day)  cabbage (0.01mg/kg safety security period of 1 day)  arugula (0.5mg/kg safety security period of 1 day)  sauce (0.5mg/kg safety security period of 1 day)  soy (0.01mg/kg safety security period of 28 days)  tomato (0.07mg/kg safety security period of 1 day). Foliar (seedlings) application in cultures of watercress (0.5mg/kg safety security period of 1 day)  lettuce (0.5mg/kg safety security period of 1 day)  leek (0.5mg/kg safety security period of 1 day)  chicory (0.5mg/kg safety security period of 1 day)  broccoli (0.01mg/kg safety security period of 1 day)  chive (0.5mg/kg safety security period of 1 day)  chicory root (0.5mg/kg safety security period of 1 day)  coriander (0.5mg/kg safety security period of 1 day)  kale (0.01mg/kg safety security period of 1 day)  Chinese cabbage (0.01mg/kg safety security period of 1 day)  Brussels sprouts (0.01mg/kg safety security period of 1 day)  cauliflower (0.01mg/kg safety security period of 1 day)  spinach (0.5mg/kg safety security period of 1 day)  basil (0.5mg/kg safety security period of 1 day)  cabbage (0.01mg/kg safety security period of 1 day)  arugula (0.5mg/kg safety security period of 1 day)  sauce (0.5mg/kg safety security period of 1 day)  tomato (0.07mg/kg safety security period of 1 day). Soil (seedlings) application in cultures of pumpkin (0.07mg/kg safety security period of 1 day)  zucchini (0.07mg/kg safety security period of 1 day)  eggplant (0.03mg/kg safety security period of 1 day)  chayote (0.07mg/kg safety security period of 1 day)  bean (0.01mg/kg safety security period of 7 days)  tobacco (non-food use)  scarlet eggplant (0.03mg/kg safety security period of 1 day)  West Indian gherkin (0.07mg/kg safety security period of 1 day)  melon (0.07mg/kg safety security period of 1 day)  cucumber (0.07mg/kg safety security period of 1 day)  pepper (0.03mg/kg safety security period of 1 day)  green pepper (0.03mg/kg safety security period of 1 day)  okra (0.07mg/kg safety security period of 1 day)  tomato (0.07mg/kg safety security period of 1 day). Soil (plant) application in cultures of coffee (0.01mg/kg safety security period of 28 days)  citrus (0.5mg/kg safety security period of 21 days). Soil (propagative material) application in cultures of potato (0.01mg/kg safety security period of 7 days). Seeds application on cotton seeds (0.01mg/kg safety security period not determined due to the mode of use)  corn (0.01mg/kg safety security not determined due to the mode of use)  soy (0.01mg/kg safety security period not determined due to the mode of use).                                </t>
  </si>
  <si>
    <t>G/SPS/N/AUS/355</t>
  </si>
  <si>
    <t xml:space="preserve">Proposal to Amend Standard 1.4.2 of the Australia New Zealand Food Standards Code (10 March 2015 - Proposed amendment (Agricultural and Veterinary Chemicals Code Instrument No. 4 (MRL Standard) Amendment Instrument 2015 (No. 2))) </t>
  </si>
  <si>
    <t>G/SPS/N/KOR/496</t>
  </si>
  <si>
    <t>Proposed amendments to the regulation of Food and Drugs Testing Laboratories Assessment</t>
  </si>
  <si>
    <t>a. Amend Annex 4. LAQAS (Laboratory Quality Assurance Standards) of the regulation of Food and Drugs Testing Laboratories Assessment to install testing record management system (such as Audit trail for instruments  using laboratory notebook for manual testing  etc). b. Amend the Certificate of Laboratory Testing to minimize fraud possibility. c. Establish requirements of re-operating laboratory after service suspension due to testing ability.</t>
  </si>
  <si>
    <t>Testing laboratories (food  livestock product  drug  traditional Korean medicinal substance  medical device  cosmetics)</t>
  </si>
  <si>
    <t>G/SPS/N/TPKM/351</t>
  </si>
  <si>
    <t>The Draft Amendment of Standard for Specification  Scope  Application and Limitation of  Food Additives</t>
  </si>
  <si>
    <t xml:space="preserve">Amendment of standards for specification of Calcium hydrogen phosphate  Tricalcium phosphate and Calcium sulfate. </t>
  </si>
  <si>
    <t>G/SPS/N/EU/121</t>
  </si>
  <si>
    <t xml:space="preserve">Draft Commission Regulation (EU) amending Regulation (EC) No. 1881/2006 as regards maximum levels of lead in certain foodstuffs (text with EEA relevance) </t>
  </si>
  <si>
    <t xml:space="preserve">This Regulation reviews a number of existing maximum levels for lead and establishes some additional maximum levels in a variety of food commodities. </t>
  </si>
  <si>
    <t>A variety of food commodities</t>
  </si>
  <si>
    <t>G/SPS/N/EU/120</t>
  </si>
  <si>
    <t xml:space="preserve">Draft Commission Regulation (EU) amending Regulation (EC) No. 1881/2006 as regards maximum levels of inorganic arsenic in foodstuffs (text with EEA relevance) </t>
  </si>
  <si>
    <t>This Regulation sets maximum levels for inorganic arsenic in rice and some derived commodities.</t>
  </si>
  <si>
    <t>G/SPS/N/JPN/402</t>
  </si>
  <si>
    <t>Authorization of Triethyl citrate as a food additive and establishment of standards and specifications.</t>
  </si>
  <si>
    <t>Food additive (Triethyl citrate)</t>
  </si>
  <si>
    <t>G/SPS/N/TPKM/350</t>
  </si>
  <si>
    <t>The Draft of Sanitation Standard for Processing Aids</t>
  </si>
  <si>
    <t xml:space="preserve"> Sanitation standard for processing aids  including definition  principle for the safe use and specification of processing aids.</t>
  </si>
  <si>
    <t>G/SPS/N/CAN/898/Add.1</t>
  </si>
  <si>
    <t>Pesticide metalaxyl-M in or on various food commodities (ICS: 65.020  65.100  67.040  67.080  67.220)</t>
  </si>
  <si>
    <t>G/SPS/N/KOR/495/Add.1</t>
  </si>
  <si>
    <t>G/SPS/N/TUR/55</t>
  </si>
  <si>
    <t xml:space="preserve">Turkish Food Codex Communiqué on Tahini Halva </t>
  </si>
  <si>
    <t>The purpose of this communiqué is to determine the definition  product features and labelling of tahini halva.</t>
  </si>
  <si>
    <t>Tahini halva</t>
  </si>
  <si>
    <t>G/SPS/N/TUR/54</t>
  </si>
  <si>
    <t xml:space="preserve">Turkish Food Codex Communiqué on Tahin </t>
  </si>
  <si>
    <t>The purpose of this communiqué is to determine the definition  product features and labelling of tahin.</t>
  </si>
  <si>
    <t>Tahin</t>
  </si>
  <si>
    <t>G/SPS/N/BRA/1019</t>
  </si>
  <si>
    <t>Draft resolution regarding the active ingredient A29 ACETAMIPRID of the monograph list of active ingredients for pesticides  household cleaning products and wood preservers  published by Resolution - RE no. 165 of 29 August 2003  Brazilian Official Gazette (DOU Diário Oficial da União) of 2 September 2003.</t>
  </si>
  <si>
    <t xml:space="preserve">Foliar application on cotton leaves (1.0mg/kg safety security period of 7 days)  in cultures of rice (0.3mg/kg safety security period of 30 days)  potato (0.5mg/kg safety security period of 7 days)  eucalyptus (non-food use)  bean (0.1mg/kg safety security period of 7 days)  apple (0.1mg/kg safety security period of 7 days)  papaya (0.1mg/kg safety security period of 5 days)  watermelon (0.1mg/kg safety security period of 3 days)  melon (0.2mg/kg safety security period of 3 days)  jatropha curcas (non-food use)  tomato (0.5mg/kg safety security period of 3 days)  soy (0.05mg/kg safety security period of 14 days)  wheat (1.0mg/kg safety security period of 15 days). Seeds application on cotton seeds (1.0mg/kg safety security period not determined due to the mode of use)  in cultures of peanut (0.01mg/kg safety security period not determined due to the mode of use)  rice (0.05mg/kg safety security period not determined due to the mode of use)  bean (0.1mg/kg safety security period not determined due to the mode of use)  corn (0.05mg/kg safety security period not determined due to the mode of use)  soy (0.05mg/kg safety security period not determined due to the mode of use)  wheat (1.0mg/kg safety security period not determined due to the mode of use). Stem application in cultures of coffee (0.2mg/kg safety security period of 30 days)  citrus (0.5mg/kg safety security period of 60 days).                                                        </t>
  </si>
  <si>
    <t>G/SPS/N/BRA/1018</t>
  </si>
  <si>
    <t>Draft resolution regarding the active ingredient C40 CHLORFENAPYR of the monograph list of active ingredients for pesticides  household cleaning products and wood preservers  published by Resolution - RE no. 165 of 29 August 2003  Brazilian Official Gazette (DOU Diário Oficial da União) of 2 September 2003</t>
  </si>
  <si>
    <t xml:space="preserve">Foliar application in cultures of acerola (2.0mg/kg safety security period of 7 days)  on cotton leaves (0.3mg/kg safety security period of 21 days)  garlic (0.5mg/kg safety security period of 14 days)  mulberry (2.0mg/kg safety security period of 7 days)  potato (0.05mg/kg safety security period of 7 days)  onion (0.05mg/kg safety security period of 14 days)  citrus (0.5mg/kg safety security period of 14 days)  kale (1.0mg/kg safety security period of 14 days)  chrysanthemum (non-food use)  eucalyptus (non-food use)  bean (0.1mg/kg safety security period of 14 days)  raspberry (2.0mg/kg safety security period of 7 days)  papaya (0.1mg/kg safety security period of 14 days)  passion fruit (0.05mg/kg safety security period of 14 days)  watermelon (0.05mg/kg safety security period of 14 days)  melon (0.05mg/kg safety security period of 14 days)  corn (0.05mg/kg safety security period of 45 days)  strawberry (2.0mg/kg safety security period of 7 days)  green pepper (0.3mg/kg safety security period of 14 days)  Surinam cherry (2.0mg/kg safety security period of 7 days)  cabbage (0.2mg/kg safety security period of 7 days)  rose (non-food use)  soy (0.05mg/kg safety security period of 30 days)  tomato (0.2mg/kg safety security period of 7 days).  </t>
  </si>
  <si>
    <t xml:space="preserve">Foliar application in cultures of acerola (2.0mg/kg safety security period of 7 days)  on cotton leaves (0.3mg/kg safety security period of 21 days)  garlic (0.5mg/kg safety security period of 14 days)  mulberry (2.0mg/kg safety security period of 7 days)  potato (0.05mg/kg safety security period of 7 days)  onion (0.05mg/kg safety security period of 14 days)  citrus (0.5mg/kg safety security period of 14 days)  kale (1.0mg/kg safety security period of 14 days)  chrysanthemum (non-food use)  eucalyptus (non-food use)  bean (0.1mg/kg safety security period of 14 days)  raspberry (2.0mg/kg safety security period of 7 days)  papaya (0.1mg/kg safety security period of 14 days)  passion fruit (0.05mg/kg safety security period of 14 days)  watermelon (0.05mg/kg safety security period of 14 days)  melon (0.05mg/kg safety security period of 14 days)  corn (0.05mg/kg safety security period of 45 days)  strawberry (2.0mg/kg safety security period of 7 days)  green pepper (0.3mg/kg safety security period of 14 days)  Surinam cherry (2.0mg/kg safety security period of 7 days)  cabbage (0.2mg/kg safety security period of 7 days)  rose (non-food use)  soy (0.05mg/kg safety security period of 30 days)  tomato (0.2mg/kg safety security period of 7 days). </t>
  </si>
  <si>
    <t>G/SPS/N/CAN/636/Add.2</t>
  </si>
  <si>
    <t>Trisodium pyrophosphate in certain standardized meat  poultry  marine and freshwater products and unstandardized foods (ICS Codes:  65.150  67.040  67.120  67.220)</t>
  </si>
  <si>
    <t>G/SPS/N/TUR/53</t>
  </si>
  <si>
    <t>Turkish Food Codex Communiqué on the methods of sampling and analysis for the official control of levels of dioxins  dioxin-like polychlorinated biphenyls and non-dioxin-like polychlorinated biphenyls in certain foodstuffs</t>
  </si>
  <si>
    <t>This Communiqué covers the methods of sampling and analysis for the official control of levels of dioxins  dioxin-like polychlorinated biphenyls and non-dioxin-like polychlorinated biphenyls in certain foodstuffs</t>
  </si>
  <si>
    <t>Contaminants  Dioxins  Food safety  Human health  Polychlorinated biphenyls</t>
  </si>
  <si>
    <t>G/SPS/N/TUR/52</t>
  </si>
  <si>
    <t>Turkish Food Codex Communiqué on the method of measurement and the selection of critical control points for the official control of the temperatures of quick-frozen foods intended for human consumption</t>
  </si>
  <si>
    <t>This Communiqué covers the method of measurement and the selection of critical control points for the official control of the temperatures of quick-frozen foods intended for human consumption.</t>
  </si>
  <si>
    <t>Quick frozen foods intended for human consumption</t>
  </si>
  <si>
    <t>G/SPS/N/CHN/121/Rev.1</t>
  </si>
  <si>
    <t>Food Safety Law of the People's Republic of China (Revised Draft)</t>
  </si>
  <si>
    <t>This notification is the "Food Safety Law of the People's Republic of China (Revised Draft)".  This law contains ten Chapters and 145 Articles.  The main contents include general principles  risk monitoring and assessment for food safety  food safety standards  the production and marketing of food  food inspection  food import and export  handling of food safety incidents  supervision and management  legal responsibility and supplementary provisions.</t>
  </si>
  <si>
    <t>Foods  food additives  packaging materials  containers  detergent and disinfectant used for foods  tools and equipment used for food producing or marketing</t>
  </si>
  <si>
    <t>G/SPS/N/CHN/874</t>
  </si>
  <si>
    <t>National Food Safety Standard: Food nutritional fortifier Lactoferrin</t>
  </si>
  <si>
    <t xml:space="preserve">This standard applies to food nutritional fortifier Lactoferrin  obtained from milk and dairy products with separation  sterilization  extraction  refining and drying. It specifies the technical requirements and testing methods for food nutritional fortifier Lactoferrin. </t>
  </si>
  <si>
    <t>Food nutritional fortifier Lactoferrin</t>
  </si>
  <si>
    <t>G/SPS/N/CHN/873</t>
  </si>
  <si>
    <t>National Food Safety Standard: Food nutritional fortifier Selenium enriched yeast</t>
  </si>
  <si>
    <t xml:space="preserve">This standard applies to food nutritional fortifier Selenium enriched yeast  which uses appropriate nutrient substance used in fermentation to vaccinate yeast strain with no genetic modification  then through fermentation to convert the sodium selenite in the culture medium into organic selenium  and finally made though separation  drying and packaging. This standard stipulates the technical requirements and testing methods for food nutritional fortifier Selenium enriched yeast. </t>
  </si>
  <si>
    <t>Food nutritional fortifier Selenium enriched yeast</t>
  </si>
  <si>
    <t>G/SPS/N/CHN/872</t>
  </si>
  <si>
    <t>National Food Safety Standard: Food nutritional fortifier D-Biotin</t>
  </si>
  <si>
    <t xml:space="preserve">This standard applies to food nutritional fortifier D-Biotin made through chemical synthesis or biological fermentation. It specifies the technical requirements and testing methods for food nutritional fortifier D-Biotin. </t>
  </si>
  <si>
    <t>Food nutritional fortifier D-Biotin</t>
  </si>
  <si>
    <t>G/SPS/N/CHN/871</t>
  </si>
  <si>
    <t xml:space="preserve">National Food Safety Standard: Food nutritional fortifier DHA (tuna oil) </t>
  </si>
  <si>
    <t>This standard applies to the food nutritional fortifier DHA (tuna oil) which is obtained from tuna  and generated by a series of processing treatment including heating  separation  refining  and purification. It specifies the technical requirements and testing methods for food nutritional fortifier DHA (tuna oil).</t>
  </si>
  <si>
    <t>Food nutritional fortifier DHA (tuna oil)</t>
  </si>
  <si>
    <t>G/SPS/N/CHN/870</t>
  </si>
  <si>
    <t>National Food Safety Standard: Food nutritional fortifier Selenium enriched edible fungus powder</t>
  </si>
  <si>
    <t>This standard applies to food nutritional fortifier Selenium enriched edible fungus powder  which uses edible fungus as the carrier and utilizing biotechnology to convert the sodium selenite in the culture medium into organic selenium  and finally made through comminution  drying and packaging. This standard stipulates the technical requirements and testing methods for food nutritional fortifier Selenium edible fungus powder.</t>
  </si>
  <si>
    <t>Food nutritional fortifier Selenium enriched edible fungus powder</t>
  </si>
  <si>
    <t>G/SPS/N/CHN/869</t>
  </si>
  <si>
    <t>National Food Safety Standard: Food nutritional fortifier Magnesium Ascorbyl Phosphate</t>
  </si>
  <si>
    <t>This standard applies to food nutritional fortifier Magnesium Ascorbyl Phosphate generated from the reaction of phosphorylated ascorbic acid with magnesium oxide. It specifies the technical requirements and testing methods for food nutritional fortifier Magnesium Ascorbyl Phosphate.</t>
  </si>
  <si>
    <t>Food nutritional fortifier Magnesium Ascorbyl Phosphate</t>
  </si>
  <si>
    <t>G/SPS/N/CHN/868</t>
  </si>
  <si>
    <t>National Food Safety Standard: Food nutritional fortifier Selenium Carrageenan</t>
  </si>
  <si>
    <t>This standard applies to the food nutritional fortifier Selenium Carrageenan generated and refined from the reaction of carrageenan  sulfurous acid  etc. The alternative name is polysaccharide selenate. It specifies the technical requirements and testing methods for food nutritional fortifier Selenium Carrageenan.</t>
  </si>
  <si>
    <t xml:space="preserve">Food nutritional fortifier Selenium Carrageenan </t>
  </si>
  <si>
    <t>G/SPS/N/CHN/867</t>
  </si>
  <si>
    <t>National Food Safety Standard: Food nutritional fortifier Selenoprotein</t>
  </si>
  <si>
    <t>This standard applies to protein products that are rich in organic Selenium  using animals  plants and fungi as raw materials  made through extraction and refining. (The Selenium in organic Selenium exists in the form of selenocysteine and selenomethionine.)</t>
  </si>
  <si>
    <t>Food nutritional fortifier Selenoprotein</t>
  </si>
  <si>
    <t>G/SPS/N/CHN/866</t>
  </si>
  <si>
    <t>National Food Safety Standard: Food nutritional fortifier Thiamine Mononitrate</t>
  </si>
  <si>
    <t>This standard applies to Food nutritional fortifier Thiamine Mononitrate which is chemically made from eacrylonitrile (ACN) or malononitrile  etc. It specifies the technical requirements and testing methods for Thiamine Mononitrate.</t>
  </si>
  <si>
    <t>Food nutritional fortifier Thiamine Mononitrate</t>
  </si>
  <si>
    <t>G/SPS/N/CHN/865</t>
  </si>
  <si>
    <t>National Food Safety Standard: Food nutritional fortifier bone meal (superfine fresh bone powder)</t>
  </si>
  <si>
    <t>This standard applies to food nutritional fortifier bone meal (superfine fresh bone powder). It specifies the technical requirements and testing methods for bone meal (superfine fresh bone powder).</t>
  </si>
  <si>
    <t>Food nutritional fortifier bone meal (superfine fresh bone powder)</t>
  </si>
  <si>
    <t>G/SPS/N/BHR/155</t>
  </si>
  <si>
    <t xml:space="preserve">GCC Guide for Control on Imported Foods </t>
  </si>
  <si>
    <t>This Guide describes principles and regulatory requirements to be applied by the exporting country and the importing GCC countries in assuring the safety and suitability of shipments of imported food. Specific attestations for animal and plant health certification are also provided in the Guide. The Guide incorporates Codex  OIE  IPPC standards as international benchmarks where appropriate. There is ongoing work in the GCC countries to harmonize all regulatory requirements for imported foods and provide a coordinated and efficient border inspection and clearance system. While regulatory requirements and procedures for imported foods are not as yet fully harmonized between the countries of the GCC  this Guide will contribute to the harmonization process. In particular  the countries of the GCC will continue to work towards a fully risk-based approach to assure the safety of imported foods.</t>
  </si>
  <si>
    <t>Animal health  Certification  control and inspection  Food safety  Human health  Plant health  Territory protection</t>
  </si>
  <si>
    <t>G/SPS/N/CHN/864</t>
  </si>
  <si>
    <t>National Food Safety Standard: Food additive Ferric Ammonium Citrate</t>
  </si>
  <si>
    <t>This standard applies to food additive Ferric Ammonium Citrate. It specifies the technical requirements and testing methods for Ferric Ammonium Citrate. This standard also applies to food nutritional fortifiers.</t>
  </si>
  <si>
    <t>Food additive Ferric Ammonium Citrate</t>
  </si>
  <si>
    <t>G/SPS/N/AUS/354</t>
  </si>
  <si>
    <t xml:space="preserve">Proposal to Amend Standard 1.4.2 of the Australia New Zealand Food Standards Code (10 February 2015 - Proposed amendment (Agricultural and Veterinary Chemicals Code Instrument No. 4 (MRL Standard) Amendment Instrument 2015 (No. 1))) </t>
  </si>
  <si>
    <t>G/SPS/N/IND/96</t>
  </si>
  <si>
    <t>Food Safety and Standard (Food Product Standard and Food Additives) Amendment Regulation  2014 and Food Safety and Standards (Packaging and labelling) Amendment Regulation  2014  dated 11 December 2014</t>
  </si>
  <si>
    <t xml:space="preserve">The draft Food Safety and Standard (Food Product Standard and Food Additives) Amendment Regulation  2014  details the limits of Isomaltulose  High Fibre Dextrin and ARA &amp; DHA use in various food products [Food Safety and Standards (Food Products Standard and Food Additives) regulation  2011: Regulation 2.1.9  3.1.3 and Appendix A  Table 2  Serial No. E]. The draft Food Safety and Standards (Packaging and labelling) Amendment Regulation  2014 specify the label declaration requirements of Isomaltulose and Dietary Fibre (Dextrin) on food packages. </t>
  </si>
  <si>
    <t>Use of Isomaltulose  High Fibre Dextrin and ARA &amp; DHA in various food products and label declaration requirements</t>
  </si>
  <si>
    <t xml:space="preserve"> HS codes: 19  04  17 </t>
  </si>
  <si>
    <t>G/SPS/N/CHN/860</t>
  </si>
  <si>
    <t>National Food Safety Standard: Code of Hygienic Practice for Quick Frozen Products</t>
  </si>
  <si>
    <t>This standard applies to the production of quick frozen products.</t>
  </si>
  <si>
    <t>Quick frozen foods</t>
  </si>
  <si>
    <t>G/SPS/N/CHN/857</t>
  </si>
  <si>
    <t>No. 1 Amendment to National Food Safety Standard "General Hygienic Practice for Food Production" (GB 14881-2013)</t>
  </si>
  <si>
    <t>This notification is the amendment to the content of National Food Safety Standard "General Hygienic Practice for Food Production" (GB 14881-2013). "Temperature should be recorded at least once per 2 hours" be added to item 14.1.1.2 of GB 14881-2013.</t>
  </si>
  <si>
    <t>G/SPS/N/JPN/397</t>
  </si>
  <si>
    <t>Revision of Specifications and Standards for Food  Food Additives  etc. for Salmonella spp. in Processed Meat Products</t>
  </si>
  <si>
    <t>Proposed revision of the regulation of Salmonella spp. in Specifications and Standards for processed meat products.</t>
  </si>
  <si>
    <t>Meat products (HS Codes: 02.09  02.10  16.01  16.02)</t>
  </si>
  <si>
    <t xml:space="preserve"> HS codes: 1602  0210  1601  0209 </t>
  </si>
  <si>
    <t>Bacteria  Food safety  Human health  Salmonella</t>
  </si>
  <si>
    <t>G/SPS/N/CHN/856</t>
  </si>
  <si>
    <t>National Food Safety Standard: Standards for Uses of Additives in Food Containers and Packaging Materials</t>
  </si>
  <si>
    <t>This standard stipulates the principle  allowable varieties of additives  use range  maximum use level  specific migration limit or maximum residual limit  specific overall migration limit and other restrictions for uses of additives in food contact materials and their products.</t>
  </si>
  <si>
    <t>Food contact materials and their products</t>
  </si>
  <si>
    <t>G/SPS/N/CHN/855</t>
  </si>
  <si>
    <t>Raw Materials (Ingredients) List #1 of Detergent Used for Food</t>
  </si>
  <si>
    <t>The document is used for regulating the administration of raw materials of detergent used for food (including fruits  vegetables  raw materials of food products  food semi-finished products  etc.)  tableware and food industrial equipment.</t>
  </si>
  <si>
    <t>Detergent used for food</t>
  </si>
  <si>
    <t xml:space="preserve"> HS codes: 3401 </t>
  </si>
  <si>
    <t>G/SPS/N/EU/75/Add.1</t>
  </si>
  <si>
    <t>Materials and articles in contact with food including catering containers and materials and articles in contact with drinking water (HS Codes: 3919  3920  3923 and 3924  ICS Code: 67.250)</t>
  </si>
  <si>
    <t xml:space="preserve"> HS codes: 3920  3923  3924  3919 </t>
  </si>
  <si>
    <t>G/SPS/N/KWT/4</t>
  </si>
  <si>
    <t>GCC Guide for Control on Imported Foods</t>
  </si>
  <si>
    <t>This Guide describes principles and regulatory requirements to be applied by the exporting country and the importing GCC countries in assuring the safety and suitability of shipments of imported food. The Guide incorporates Codex  OIE  IPPC standards as international benchmarks where appropriate. Health certificates for imported food (from animal and plant origins) which include specific attestations are provided in the Guide. In 2011  some of the GCC countries notified WTO (SPS) about this Guide. Due to comments received from many WTO Members  this Guide had been reviewed by GCC Food Safety Committee and modified accordingly. The attached version has been adopted by all GCC countries including the State of Kuwait.</t>
  </si>
  <si>
    <t>- All foodstuffs (ICS Code 67.04) - Specific certificates for animals: animal products (meat and its derivatives) - Birds products and derivatives products - Fish and fish products and their derivatives - Phytosanitary: plant products and their derivative</t>
  </si>
  <si>
    <t>G/SPS/N/KOR/495</t>
  </si>
  <si>
    <t>The Imported Food Safety Control Bill</t>
  </si>
  <si>
    <t>This Bill has been proposed: - To aim at improving people's health by ensuring the safety of imported food and ensuring sound transaction in food market by providing correct information to consumers  - To mandate foreign food manufacturers or food importers to register overseas food facilities including names  addresses and food items for the Ministry of Food and Drug Safety (MFDS) at least seven days prior to their first importation. The food products from foreign facilities which failed to be registered can be refused admission into South Korea. The registration should be renewed every two years  - To authorize the MFDS or the third certified party appointed by the MFDS to inspect foreign food facilities through making arrangements and agreements with foreign governments or manufacturers  in case of being necessary to ensure the safety of a imported food. If there's any facility's refusing of inspection authorized by the MFDS  food import ban from the facility is possible  - To authorize the MFDS to conduct import risk assessment about meat and meat   products when requested by exporting countries for export permission. As a result of the assessment  the MFDS may notify eligible meat and meat products which comply with sanitary requirements and standards by country or by product  - To mandate food importers to register their business for the MFDS prior to the import  - To authorize the MFDS to apply differentiated test depending on non-compliance history and other risk based data  and - To mandate food importers to declare by submitting necessary documents to the MFDS  and to authorize the MFDS to review the documents and take a lab test when necessary prior to clearance at border.</t>
  </si>
  <si>
    <t>G/SPS/N/TPKM/348</t>
  </si>
  <si>
    <t>The Import Regulation of "F01" and "F02" in Import Commodity Classification</t>
  </si>
  <si>
    <t>To revise the Import Regulation of "F01" and "F02" in Import Commodity Classification.</t>
  </si>
  <si>
    <t>Import foods and related products</t>
  </si>
  <si>
    <t xml:space="preserve"> HS codes: 121190  210390 </t>
  </si>
  <si>
    <t>G/SPS/N/NZL/515</t>
  </si>
  <si>
    <t>Proposals for regulations under the Food Act 2014 MPI Public Discussion Paper No. 2015/01.</t>
  </si>
  <si>
    <t xml:space="preserve">The Food Act 2014 was passed on 6 June 2014 and must come into force by 1 March 2016.  The Act prescribes a high level  risk-based framework for promoting the safety of food for sale in New Zealand  including imported food. Regulations are necessary to provide more detail to support implementation of the Act.  The discussion document sets out proposals for regulations in nine key areas: - food control plans and national programmes (risk-based food safety management tools) - verification (of food businesses) - recognised agencies and persons - approvals (of documents  facilities  materials  etc.) - cost recovery - imported food - exemptions - infringement offences - food standards - transitional matters. The proposed regulations relating to food standards propose changes only in respect of residue limits for agricultural compounds.  No changes are proposed to all other food standards.  These will be maintained in their current form. The Food Act 2014 will bring New Zealand's domestic food system into line with the risk-based approach of other New Zealand food statutes. </t>
  </si>
  <si>
    <t>Food for sale in New Zealand  regulated under the Food Act 2014.  (This includes both food produced in New Zealand including food for export - and food imported into New Zealand.)</t>
  </si>
  <si>
    <t>Certification  control and inspection  Food safety  Human health  Maximum residue limits (MRLs)  Pesticides</t>
  </si>
  <si>
    <t>G/SPS/N/MEX/234/Add.1</t>
  </si>
  <si>
    <t>Cacao  chocolate  los productos similares y los derivados del cacao</t>
  </si>
  <si>
    <t xml:space="preserve"> HS codes: 1806  18 </t>
  </si>
  <si>
    <t>G/SPS/N/BHR/154</t>
  </si>
  <si>
    <t>The Cooperation Council for the Arab States of the Gulf Draft Technical Regulation for: "Microbiological criteria for foodstuffs"</t>
  </si>
  <si>
    <t>This draft technical regulation applies to microbiological limits for some foodstuffs intended for human consumption  and for some food ingredients used in the food industry.</t>
  </si>
  <si>
    <t>G/SPS/N/BRA/1014</t>
  </si>
  <si>
    <t>Foliar application on cotton leaves (0.05mg/kg safety security period of 15 days)  in cultures of rice (0.7mg/kg safety security period of 30 days)  potato (0.03mg/kg safety security period of 7 days)  canola (0.02mg/kg safety security period of 14 days)  citrus (0.07mg/kg safety security period of 7 days)  kale (0.02mg/kg safety security period of 5 days)  chrysanthemum (non-food use)  bean (0.5mg/kg safety security period of 20 days)  tobacco (non-food use)  mango (0.1mg/kg safety security period of 7 days)  papaya (0.3mg/kg safety security period of 7 days)  melon (0.05mg/kg safety security period of 7 days)  corn (0.02mg/kg safety security period of 20 days)  Indian fig (0.1mg/kg safety security period of 16 days)  cucumber (0.02mg/kg safety security period of 4 days)  rose (non-food use)  soy (0.02mg/kg safety security period of 20 days)  tomato (0.02mg/kg safety security period of 6 days)  wheat (0.7mg/kg safety security period of 14 days)  grape (0.1mg/kg safety security period of 7 days). Seeds application on cotton seeds (0.05mg/kg safety security period not determined due to the mode of use)  in cultures of rice (0.7mg/kg safety security period not determined due to the mode of use)  bean (0.5mg/kg safety security period not determined due to the mode of use)  corn (0.02mg/kg safety security period not determined due to the mode of use)  soy (0.02mg/kg safety security period not determined due to the mode of use)  wheat (0.7mg/kg safety security period not determined due to the mode of use). Application in stored products: rice (0.7mg/kg safety security of 30 days)  barley (1.0mg/kg safety security period of 30 days)  bean (0.5mg/kg safety security of 30 days)  corn (0.02mg/kg safety security of 30 days)  wheat (0.7mg/kg safety security of 30 days). Soil application in cultures of potato (0.03mg/kg safety security of 35 days)  sugarcane (0.02mg/kg safety security period not determined due to the mode of use)  corn (0.02mg/kg safety security period not determined due to the mode of use). Localized application in cultures of banana (0.02mg/kg safety security period not determined due to the mode of use).</t>
  </si>
  <si>
    <t>G/SPS/N/CHN/852</t>
  </si>
  <si>
    <t>National Food Safety Standard: Food additive ã-Dodecalactone</t>
  </si>
  <si>
    <t>This standard applies to food additive ã-dodecalactone. It specifies the technical requirements and test methods for ã-dodecalactone.</t>
  </si>
  <si>
    <t>Food additive ã-Dodecalactone</t>
  </si>
  <si>
    <t>G/SPS/N/CHN/851</t>
  </si>
  <si>
    <t>National Food Safety Standard: Food additive trans-Anethole</t>
  </si>
  <si>
    <t>This standard applies to food additive trans-anethole. It specifies the technical requirements and test methods for trans-anethole.</t>
  </si>
  <si>
    <t>Food additive trans-Anethole</t>
  </si>
  <si>
    <t>G/SPS/N/CHN/850</t>
  </si>
  <si>
    <t>National Food Safety Standard: Food additive ã-Heptalactone</t>
  </si>
  <si>
    <t>This standard applies to food additive ã-heptalactone. It specifies the technical requirements and test methods for ã-heptalactone.</t>
  </si>
  <si>
    <t>Food additive ã-Heptalactone</t>
  </si>
  <si>
    <t>G/SPS/N/CHN/849</t>
  </si>
  <si>
    <t>National Food Safety Standard: Food additive 3-Hexenyl 2-methylbutanoate</t>
  </si>
  <si>
    <t>This standard applies to food additive 3-hexenyl 2-methylbutanoate. It specifies the technical requirements and test methods for 3-hexenyl 2-methylbutanoate.</t>
  </si>
  <si>
    <t>Food additive 3-Hexenyl 2-methylbutanoate</t>
  </si>
  <si>
    <t>G/SPS/N/CHN/848</t>
  </si>
  <si>
    <t>National Food Safety Standard: Food additive 2-Methylbutyl 2-methylbutyrate</t>
  </si>
  <si>
    <t>This standard applies to food additive 2-methylbutyl 2-methylbutyrate. It specifies the technical requirements and test methods for 2-methylbutyl 2-methylbutyrate.</t>
  </si>
  <si>
    <t>Food additive 2-Methylbutyl 2-methylbutyrate</t>
  </si>
  <si>
    <t>G/SPS/N/CHN/847</t>
  </si>
  <si>
    <t>National Food Safety Standard: Food additive 2-Methyl-4-pentenoic acid</t>
  </si>
  <si>
    <t>This standard applies to food additive 2-methyl-4-pentenoic acid. It specifies the technical requirements and test methods for 2-methyl-4-pentenoic acid.</t>
  </si>
  <si>
    <t>Food additive 2-Methyl-4-pentenoic acid</t>
  </si>
  <si>
    <t>G/SPS/N/CHN/846</t>
  </si>
  <si>
    <t>National Food Safety Standard: Food additive 2 6-Dimethyl-5-heptenal</t>
  </si>
  <si>
    <t>This standard applies to food additive 2 6-dimethyl-5-heptenal. It specifies the technical requirements and test methods for 2 6-dimethyl-5-heptenal.</t>
  </si>
  <si>
    <t>Food additive 2 6-Dimethyl-5-heptenal</t>
  </si>
  <si>
    <t>G/SPS/N/CHN/845</t>
  </si>
  <si>
    <t>National Food Safety Standard: Food additive Ethyl palmitate</t>
  </si>
  <si>
    <t>This standard applies to food additive ethyl palmitate. It specifies the technical requirements and test methods for ethyl palmitate.</t>
  </si>
  <si>
    <t>Food additive Ethyl palmitate</t>
  </si>
  <si>
    <t>G/SPS/N/CHN/844</t>
  </si>
  <si>
    <t>National Food Safety Standard: Food additive n-Decyl aldehyde (Decanal)</t>
  </si>
  <si>
    <t>This standard applies to food additive n-decyl aldehyde (decanal). It specifies the technical requirements and test methods for n-decyl aldehyde (decanal).</t>
  </si>
  <si>
    <t>Food additive n-Decyl aldehyde (Decanal)</t>
  </si>
  <si>
    <t>G/SPS/N/CHN/843</t>
  </si>
  <si>
    <t>National Food Safety Standard: Food additive 3-Hexenyl isovalerate</t>
  </si>
  <si>
    <t>This standard applies to food additive 3-hexenyl isovalerate. It specifies the technical requirements and test methods for 3-hexenyl isovalerate.</t>
  </si>
  <si>
    <t>Food additive 3-Hexenyl isovalerate</t>
  </si>
  <si>
    <t>G/SPS/N/CHN/842</t>
  </si>
  <si>
    <t>National Food Safety Standard: Food additive Ethyl isobutyrate</t>
  </si>
  <si>
    <t>This standard applies to food additive ethyl isobutyrate. It specifies the technical requirements and test methods for ethyl isobutyrate.</t>
  </si>
  <si>
    <t>Food additive Ethyl isobutyrate</t>
  </si>
  <si>
    <t>G/SPS/N/CHN/841</t>
  </si>
  <si>
    <t>National Food Safety Standard: Food additive Geranyl acetate</t>
  </si>
  <si>
    <t>This standard applies to food additive geranyl acetate. It specifies the technical requirements and test methods for geranyl acetate.</t>
  </si>
  <si>
    <t>Food additive Geranyl acetate</t>
  </si>
  <si>
    <t>G/SPS/N/CHN/840</t>
  </si>
  <si>
    <t>National Food Safety Standard: Food additive Terpinyl acetate</t>
  </si>
  <si>
    <t>This standard applies to food additive terpinyl acetate. It specifies the technical requirements and test methods for terpinyl acetate.</t>
  </si>
  <si>
    <t>Food additive Terpinyl acetate</t>
  </si>
  <si>
    <t>G/SPS/N/CHN/839</t>
  </si>
  <si>
    <t>National Food Safety Standard: Food additive Neryl acetate</t>
  </si>
  <si>
    <t>This standard applies to food additive neryl acetate. It specifies the technical requirements and test methods for neryl acetate.</t>
  </si>
  <si>
    <t>Food additive Neryl acetate</t>
  </si>
  <si>
    <t>G/SPS/N/CHN/838</t>
  </si>
  <si>
    <t>National Food Safety Standard: Food additive Propyl acetate</t>
  </si>
  <si>
    <t>This standard applies to food additive propyl acetate. It specifies the technical requirements and test methods for propyl acetate.</t>
  </si>
  <si>
    <t>Food additive Propyl acetate</t>
  </si>
  <si>
    <t>G/SPS/N/CHN/837</t>
  </si>
  <si>
    <t>National Food Safety Standard: Food additive 2-Methylbutyl acetate</t>
  </si>
  <si>
    <t>This standard applies to food additive 2-methylbutyl acetate. It specifies the technical requirements and test methods for 2-methylbutyl acetate.</t>
  </si>
  <si>
    <t>Food additive 2-Methylbutyl acetate</t>
  </si>
  <si>
    <t>G/SPS/N/CHN/836</t>
  </si>
  <si>
    <t>National Food Safety Standard: Food additive Ethyl caprylate</t>
  </si>
  <si>
    <t>This standard applies to food additive ethyl caprylate. It specifies the technical requirements and test methods for ethyl caprylate.</t>
  </si>
  <si>
    <t>Food additive Ethyl caprylate</t>
  </si>
  <si>
    <t>G/SPS/N/CHN/835</t>
  </si>
  <si>
    <t>National Food Safety Standard: Food additive Geranyl formate</t>
  </si>
  <si>
    <t>This standard applies to food additive geranyl formate. It specifies the technical requirements and test methods for geranyl formate.</t>
  </si>
  <si>
    <t>Food additive Geranyl formate</t>
  </si>
  <si>
    <t>G/SPS/N/CHN/834</t>
  </si>
  <si>
    <t>National Food Safety Standard: Food additive Citronellyl formate</t>
  </si>
  <si>
    <t>This standard applies to food additive citronellyl formate. It specifies the technical requirements and test methods for citronellyl formate.</t>
  </si>
  <si>
    <t>Food additive Citronellyl formate</t>
  </si>
  <si>
    <t>G/SPS/N/CHN/833</t>
  </si>
  <si>
    <t>National Food Safety Standard: Food additive Hexanal</t>
  </si>
  <si>
    <t>This standard applies to food additive hexanal. It specifies the technical requirements and test methods for hexanal.</t>
  </si>
  <si>
    <t>Food additive Hexanal</t>
  </si>
  <si>
    <t>G/SPS/N/CHN/832</t>
  </si>
  <si>
    <t>National Food Safety Standard: Food additive Linalool</t>
  </si>
  <si>
    <t>This standard applies to food additive linalool. It specifies the technical requirements and test methods for linalool.</t>
  </si>
  <si>
    <t>Food additive Linalool</t>
  </si>
  <si>
    <t>G/SPS/N/CHN/831</t>
  </si>
  <si>
    <t>National Food Safety Standard: Food additive Dihydrocarveol</t>
  </si>
  <si>
    <t>This standard applies to food additive dihydrocarveol. It specifies the technical requirements and test methods for dihydrocarveol.</t>
  </si>
  <si>
    <t>Food additive Dihydrocarveol</t>
  </si>
  <si>
    <t>G/SPS/N/CHN/830</t>
  </si>
  <si>
    <t>National Food Safety Standard: Food additive ä-Dodecalactone</t>
  </si>
  <si>
    <t>This standard applies to food additive ä-dodecalactone. It specifies the technical requirements and test methods for ä-dodecalactone.</t>
  </si>
  <si>
    <t>Food additive ä-Dodecalactone</t>
  </si>
  <si>
    <t>G/SPS/N/CHN/829</t>
  </si>
  <si>
    <t>National Food Safety Standard: Food additive ä-Decalactone</t>
  </si>
  <si>
    <t>This standard applies to food additive ä-decalactone. It specifies the technical requirements and test methods for ä-decalactone.</t>
  </si>
  <si>
    <t>Food additive ä-Decalactone</t>
  </si>
  <si>
    <t>G/SPS/N/CHN/828</t>
  </si>
  <si>
    <t>National Food Safety Standard: Food additive ã-Hexalactone</t>
  </si>
  <si>
    <t>This standard applies to food additive ã-hexalactone. It specifies the technical requirements and test methods for ã-hexalactone.</t>
  </si>
  <si>
    <t>Food additive ã-Hexalactone</t>
  </si>
  <si>
    <t>G/SPS/N/CHN/827</t>
  </si>
  <si>
    <t>National Food Safety Standard: Food additive ã-Decalactone</t>
  </si>
  <si>
    <t>This standard applies to food additive ã-decalactone. It specifies the technical requirements and test methods for ã-decalactone.</t>
  </si>
  <si>
    <t>Food additive ã-Decalactone</t>
  </si>
  <si>
    <t>G/SPS/N/CHN/826</t>
  </si>
  <si>
    <t>National Food Safety Standard: Food additive á-Ionone</t>
  </si>
  <si>
    <t>This standard applies to food additive á-ionone. It specifies the technical requirements and test methods for á-ionone.</t>
  </si>
  <si>
    <t>Food additive á-Ionone</t>
  </si>
  <si>
    <t>G/SPS/N/CHN/825</t>
  </si>
  <si>
    <t>National Food Safety Standard: Food additive d-Ribose</t>
  </si>
  <si>
    <t>This standard applies to food additive d-ribose. It specifies the technical requirements and test methods for d-ribose.</t>
  </si>
  <si>
    <t>Food additive d-Ribose</t>
  </si>
  <si>
    <t>G/SPS/N/CHN/824</t>
  </si>
  <si>
    <t>National Food Safety Standard: Food additive Vanillin</t>
  </si>
  <si>
    <t>This standard applies to food additive vanillin which using guaiacol or lignin  the latter is collected from sulphite waste liquid of paper-making factory as raw materials  obtained through chemical reactions. It specifies the technical requirements and test methods for vanillin.</t>
  </si>
  <si>
    <t>Food additive Vanillin</t>
  </si>
  <si>
    <t>G/SPS/N/CHN/823</t>
  </si>
  <si>
    <t>National Food Safety Standard: Food additive Lemon oil [Citrus limon (L.) Burm.f.]</t>
  </si>
  <si>
    <t>This standard applies to food additive lemon oil obtained from the fresh fruits of Citrus limon (L.) Burm.f. by cold-grinding method. It specifies the technical requirements and test methods for lemon oil [Citrus limon (L.) Burm.f.].</t>
  </si>
  <si>
    <t xml:space="preserve">Food additive Lemon oil [Citrus limon (L.) Burm.f.] </t>
  </si>
  <si>
    <t>G/SPS/N/QAT/22/Add.2</t>
  </si>
  <si>
    <t>Foodstuffs (ICS Code 67.04)</t>
  </si>
  <si>
    <t>G/SPS/N/CHN/822</t>
  </si>
  <si>
    <t>National Food Safety Standard: Food additive Rose oil (Rosa spp.)</t>
  </si>
  <si>
    <t>This standard applies to food additive rose oil obtained from the flowers and buds of Chinese Kushui rose (Rosa sertata × Rosa rugosa) cultivated in China. It specifies the technical requirements and test methods for Chinese Kushui rose (Rosa sertata × Rosa rugosa) oil.</t>
  </si>
  <si>
    <t>Food additive Rose oil (Rosa spp.)</t>
  </si>
  <si>
    <t>G/SPS/N/CHN/821</t>
  </si>
  <si>
    <t>National Food Safety Standard: Food additive Anise star oil (Illicium verum Hook  F.)</t>
  </si>
  <si>
    <t>This standard applies to food additive anise star oil obtained from the fruits  leaves and branches of Illicium verum Hook  F. cultivated in southern China. It specifies the technical requirements and test methods for anise star oil (Illicium verum Hook  F.).</t>
  </si>
  <si>
    <t>Food additive Anise star oil (Illicium verum Hook  F.)</t>
  </si>
  <si>
    <t>G/SPS/N/CHN/820</t>
  </si>
  <si>
    <t>National Food Safety Standard: Food additive Thymol</t>
  </si>
  <si>
    <t>This standard applies to food additive thymol made from natural terpenoids oxygenated compounds or other raw materials by chemical reactions. It specifies the technical requirements and test methods for thymol.</t>
  </si>
  <si>
    <t>Food additive Thymol</t>
  </si>
  <si>
    <t>G/SPS/N/CHN/819</t>
  </si>
  <si>
    <t>National Food Safety Standard: Food additive Diacetyl (2 3-Diketo butane)</t>
  </si>
  <si>
    <t>This standard applies to food additive diacetyl (2 3-Diketo butane) made by chemical reactions. It specifies the technical requirements and test methods for diacetyl (2 3-Diketo butane).</t>
  </si>
  <si>
    <t>Food additive Diacetyl (2 3-Diketo butane)</t>
  </si>
  <si>
    <t>G/SPS/N/CHN/818</t>
  </si>
  <si>
    <t>National Food Safety Standard: Food additive 2-Acetylpyrazine</t>
  </si>
  <si>
    <t>This standard applies to food additive 2-acetylpyrazine made from 2-cyanopyrazine or 2-ethyllpyrazine as raw materials by chemical reactions. It specifies the technical requirements and test methods for 2-acetylpyrazine.</t>
  </si>
  <si>
    <t>Food additive 2-Acetylpyrazine</t>
  </si>
  <si>
    <t>G/SPS/N/CHN/817</t>
  </si>
  <si>
    <t>National Food Safety Standard: Food additive Aldehyde C-16 pure (Strawberry aldehyde)</t>
  </si>
  <si>
    <t>This standard applies to food additive aldehyde C-16 pure (strawberry aldehyde) made from acetophenone and ethyl á-chloroacetate as raw materials by chemical reactions. It specifies the technical requirements and test methods for aldehyde C-16 pure.</t>
  </si>
  <si>
    <t>Food additive Aldehyde C-16 pure (Strawberry aldehyde)</t>
  </si>
  <si>
    <t>G/SPS/N/CHN/816</t>
  </si>
  <si>
    <t>National Food Safety Standard: Food additive Benzyl butyrate</t>
  </si>
  <si>
    <t>This standard applies to food additive benzyl butyrate made from butyric acid and benzyl alcohol as raw materials by chemical reaction. It specifies the technical requirements and test methods for benzyl butyrate.</t>
  </si>
  <si>
    <t>Food additive Benzyl butyrate</t>
  </si>
  <si>
    <t>G/SPS/N/CHN/815</t>
  </si>
  <si>
    <t>National Food Safety Standard: Food additive Benzyl alcohol</t>
  </si>
  <si>
    <t>This standard applies to food additive benzyl alcohol made from benzaldehyde or benzyl chloride as raw materials by chemical reactions. It specifies the technical requirements and test methods for benzyl alcohol.</t>
  </si>
  <si>
    <t>Food additive Benzyl alcohol</t>
  </si>
  <si>
    <t>G/SPS/N/CHN/814</t>
  </si>
  <si>
    <t>National Food Safety Standard: Food additive ã-Nonalactone</t>
  </si>
  <si>
    <t>This standard applies to food additive ã-nonalactone made from methyl acrylate or acrylic acid and hexanol as raw materials by chemical reactions. It specifies the technical requirements and test methods for ã-nonalactone.</t>
  </si>
  <si>
    <t>Food additive ã-Nonalactone</t>
  </si>
  <si>
    <t>G/SPS/N/CHN/813</t>
  </si>
  <si>
    <t>National Food Safety Standard: Food additive Chinese date (common Jujube) tincture (Ziziphus jujuba Mill.)</t>
  </si>
  <si>
    <t>This standard applies to food additive Chinese date (common Jujube) tincture obtained from Ziziphus jujuba Mill. fruits and edible alcohol solution. It specifies the technical requirements and test methods for Chinese date (common Jujube) tincture (Ziziphus jujuba Mill.).</t>
  </si>
  <si>
    <t xml:space="preserve">Food additive Chinese date (common Jujube) tincture (Ziziphus jujuba Mill.) </t>
  </si>
  <si>
    <t>G/SPS/N/CHN/812</t>
  </si>
  <si>
    <t>National Food Safety Standard: Food additive Allyl hexanoate</t>
  </si>
  <si>
    <t>This standard applies to food additive allyl hexanoate made from hexanoic acid and allyl alcohol as raw materials by chemical reaction. It specifies the technical requirements and test methods for allyl hexanoate.</t>
  </si>
  <si>
    <t>Food additive Allyl hexanoate</t>
  </si>
  <si>
    <t>G/SPS/N/CHN/811</t>
  </si>
  <si>
    <t>National Food Safety Standard: Food additive á-Amylcinnamaldehyde</t>
  </si>
  <si>
    <t>This standard applies to food additive á-amylcinnamaldehyde made from heptyl aldehyde and benzaldehyde as raw materials by chemical reactions. It specifies the technical requirements and test methods for á-amylcinnamaldehyde.</t>
  </si>
  <si>
    <t>Food additive á-Amylcinnamaldehyde</t>
  </si>
  <si>
    <t>G/SPS/N/CHN/810</t>
  </si>
  <si>
    <t>National Food Safety Standard: Food additive Ethyl heptanoate</t>
  </si>
  <si>
    <t>This standard applies to food additive ethyl heptanoate made from heptanoic acid and ethanol by chemical reaction. It specifies the technical requirements and test methods for ethyl heptanoate.</t>
  </si>
  <si>
    <t>Food additive Ethyl heptanoate</t>
  </si>
  <si>
    <t>G/SPS/N/CHN/809</t>
  </si>
  <si>
    <t>National Food Safety Standard: Food additive Eugenol</t>
  </si>
  <si>
    <t>This standard applies to food additive eugenol which isolated chemically from basil oil and bay sweet oil etc. It specifies the technical requirements and test methods for eugenol.</t>
  </si>
  <si>
    <t>Food additive Eugenol</t>
  </si>
  <si>
    <t>G/SPS/N/CHN/808</t>
  </si>
  <si>
    <t>National Food Safety Standard: Food additive Lavender oil (Lavandula angustifolia)</t>
  </si>
  <si>
    <t>This standard applies to food additive lavender oil obtained from Lavandula angustifolia flowers. It specifies the technical requirements and test methods for lavender oil (Lavandula angustifolia).</t>
  </si>
  <si>
    <t>Food additive Lavender oil (Lavandula angustifolia)</t>
  </si>
  <si>
    <t>G/SPS/N/CHN/807</t>
  </si>
  <si>
    <t>National Food Safety Standard: Food Additive Methylcyclopentenolone (3-methyl-2-hydroxy-2-cyclopenten-1-one)</t>
  </si>
  <si>
    <t>This standard applies to food additive methylcyclopentenolone (3-methyl-2-hydroxy-2-cyclopenten-1-one) made from methylfuran  formaldehyde and dimethylamine by chemical reaction. It specifies the technical requirements and test methods for methylcyclopentenolone.</t>
  </si>
  <si>
    <t>Food additive Methylcyclopentenolone (3-methyl-2-hydroxy-2-cyclopenten-1-one)</t>
  </si>
  <si>
    <t>G/SPS/N/CHN/806</t>
  </si>
  <si>
    <t>National Food Safety Standard: Food Additive Litsea Cubeba Berry Oil</t>
  </si>
  <si>
    <t>This standard applies to food additive Litsea cubeba berry oil obtained from Litsea cubeba Pers. berry. It specifies the technical requirements and test methods for Litsea cubeba berry oil.</t>
  </si>
  <si>
    <t>Food additive Litsea cubeba berry oil</t>
  </si>
  <si>
    <t>G/SPS/N/CHN/805</t>
  </si>
  <si>
    <t>National Food Safety Standard: Food Additive Smoking Flavorings No. I and No. II Made from Hawthorn Kernels</t>
  </si>
  <si>
    <t>This standard applies to food additive smoking flavorings No. I and No. II made from hawthorn kernels. It specifies the technical requirements and test methods for smoking flavorings No. I and No. II made from hawthorn kernels.</t>
  </si>
  <si>
    <t>Food additive Smoking flavorings No. I and No. II made from hawthorn kernels</t>
  </si>
  <si>
    <t>G/SPS/N/CHN/804</t>
  </si>
  <si>
    <t>National Food Safety Standard: Food Additive Ginger Oil (Zingiber officinale Rosc.)</t>
  </si>
  <si>
    <t>This standard applies to food additive ginger oil obtained from the rhizome of Zingiber officinale Rosc. It specifies the technical requirements and test methods for ginger oil (Zingiber officinale Rosc.).</t>
  </si>
  <si>
    <t>Food additive Ginger oil (Zingiber officinale Rosc.)</t>
  </si>
  <si>
    <t>G/SPS/N/ARE/22/Add.1</t>
  </si>
  <si>
    <t>Imported foods</t>
  </si>
  <si>
    <t>Food safety  Plant protection  Protect humans from animal/plant pest or disease</t>
  </si>
  <si>
    <t>G/SPS/N/CHN/803</t>
  </si>
  <si>
    <t>National Food Safety Standard: Food Additive Linalyl Acetate</t>
  </si>
  <si>
    <t>This standard applies to food additive linalyl acetate made from linalool and acetic anhydride by chemical reaction. It specifies the technical requirements and test methods for linalyl acetate.</t>
  </si>
  <si>
    <t>Food additive Linalyl acetate</t>
  </si>
  <si>
    <t>G/SPS/N/CHN/802</t>
  </si>
  <si>
    <t>National Food Safety Standard: Food Additive Cinnamic Alcohol</t>
  </si>
  <si>
    <t>This standard applies to food additive cinnamic alcohol made from cinnamic aldehyde by chemical reactions. It specifies the technical requirements and test methods for cinnamic alcohol.</t>
  </si>
  <si>
    <t>Food additive Cinnamic alcohol</t>
  </si>
  <si>
    <t>G/SPS/N/CHN/801</t>
  </si>
  <si>
    <t>National Food Safety Standard: Food Additive Patchouli Oil (Pogostemon cablin)</t>
  </si>
  <si>
    <t>This standard applies to food additive patchouli oil obtained from the leaves and stems of Pogostemon cablin. It specifies the technical requirements and test methods for patchouli oil (Pogostemon cablin).</t>
  </si>
  <si>
    <t>Food additive Patchouli oil (Pogostemon cablin)</t>
  </si>
  <si>
    <t>G/SPS/N/CHN/800</t>
  </si>
  <si>
    <t>National Food Safety Standard: Food Additive á-Hexylcinnamaldehyde</t>
  </si>
  <si>
    <t>This standard applies to food additive á-hexylcinnamaldehyde made from benzaldehyde or octanal by chemical reactions. It specifies the technical requirements and test methods for á-hexylcinnamaldehyde.</t>
  </si>
  <si>
    <t>Food additive á-Hexylcinnamaldehyde</t>
  </si>
  <si>
    <t>G/SPS/N/CHN/799</t>
  </si>
  <si>
    <t>National Food Safety Standard: Food Additive Peach Aldehyde (ã-Undecalactone)</t>
  </si>
  <si>
    <t>This standard applies to food additive peach aldehyde (ã-undecalactone) made from 1-octanol and methyl acrylate or acrylic acid by chemical reactions. It specifies the technical requirements and test methods for peach aldehyde.</t>
  </si>
  <si>
    <t>Food additive Peach aldehyde (ã-Undecalactone)</t>
  </si>
  <si>
    <t>G/SPS/N/CHN/798</t>
  </si>
  <si>
    <t>National Food Safety Standard: Food Additive ButyricAcid</t>
  </si>
  <si>
    <t>This standard applies to food additive butyric acid made from butanol or butyraldehyde by chemical reactions. It specifies the technical requirements and test methods for butyric acid.</t>
  </si>
  <si>
    <t>Food additive Butyric acid</t>
  </si>
  <si>
    <t>G/SPS/N/CHN/797</t>
  </si>
  <si>
    <t>National Food Safety Standard: Food Additive Hexanoic Acid</t>
  </si>
  <si>
    <t>This standard applies to food additive hexanoic acid using 2-octanol as raw material and obtained by oxidation  or using short-chain fatty acids as raw material and obtained by isolation. It specifies the technical requirements and test methods for hexanoic acid.</t>
  </si>
  <si>
    <t>Food additive Hexanoic acid</t>
  </si>
  <si>
    <t>G/SPS/N/CHN/796</t>
  </si>
  <si>
    <t>National Food Safety Standard: Food Additive 2-Methyl-3-Furanthiol</t>
  </si>
  <si>
    <t>This standard applies to food additive 2-methyl-3-furanthiol using 2-methylfuran and thioacetic acid as raw materials  obtained through chemical reaction. It specifies the technical requirements and test methods for 2-methyl-3-furanthiol.</t>
  </si>
  <si>
    <t>Food additive 2-Methyl-3-furanthiol</t>
  </si>
  <si>
    <t>G/SPS/N/CHN/795</t>
  </si>
  <si>
    <t>National Food Safety Standard: Food Additive Osmanthus Fragrans Flower Extract</t>
  </si>
  <si>
    <t>This standard applies to food additive Osmanthus fragrans flower extract using Osmanthus fragrans flowers as raw materials. It specifies the technical requirements and test methods for Osmanthus fragrans flower extract.</t>
  </si>
  <si>
    <t>Food additive Osmanthus fragrans flower extract</t>
  </si>
  <si>
    <t>G/SPS/N/CHN/794</t>
  </si>
  <si>
    <t>National Food Safety Standard: Food Additive Eucalyptus Oil (Eucalyptus globulus Labille)</t>
  </si>
  <si>
    <t>This standard applies to food additive Eucalyptus oil using the fresh branches and leaves of Eucalyptus globulus Labille or other Eucalyptus spp as raw materials. It specifies the technical requirements and test methods for Eucalyptus oil (Eucalyptus globulus Labille).</t>
  </si>
  <si>
    <t xml:space="preserve">Food additive Eucalyptus oil (Eucalyptus globulus Labille) </t>
  </si>
  <si>
    <t>G/SPS/N/CHN/793</t>
  </si>
  <si>
    <t>National Food Safety Standard: Food Additive Spearmint oil (Mentha spicata)</t>
  </si>
  <si>
    <t>This standard applies to the food additive spearmint oil using aerial parts of Mentha spicata as raw material. It specifies the technical requirements and test methods for spearmint oil (Mentha spicata).</t>
  </si>
  <si>
    <t>Food additive Spearmint oil (Mentha spicata)</t>
  </si>
  <si>
    <t>G/SPS/N/CHN/792</t>
  </si>
  <si>
    <t>National Food Safety Standard: Food Additive 1 8-Cineole</t>
  </si>
  <si>
    <t>This standard applies to food additive 1 8-cineole using Eucalyptus oil as raw material. It specifies the technical requirements and test methods for 1 8-cineole.</t>
  </si>
  <si>
    <t>Food additive 1 8-Cineole</t>
  </si>
  <si>
    <t>G/SPS/N/CHN/791</t>
  </si>
  <si>
    <t>National Food Safety Standard: Food Additive Chrysanthemum Hang Zhou flower extract (Dendranthema morifolium or Chrysanthemum morifolium)</t>
  </si>
  <si>
    <t>This standard applies to food additive chrysanthemum Hang Zhou flower extract using  Dendranthema morifolium or Chrysanthemum morifolium flowers as raw materials. It specifies the technical requirements and test methods for chrysanthemum Hang Zhou flower extract (Dendranthema morifolium or Chrysanthemum morifolium).</t>
  </si>
  <si>
    <t xml:space="preserve">Food additive Chrysanthemum Hang Zhou flower extract (Dendranthema morifolium or Chrysanthemum morifolium) </t>
  </si>
  <si>
    <t>G/SPS/N/CHN/790</t>
  </si>
  <si>
    <t>National Food Safety Standard: Food Additive Hydroxycitronellal</t>
  </si>
  <si>
    <t>This standard applies to food additive hydroxycitronellal using citronellal as raw material  produced by chemical reaction. It specifies the technical requirements and test methods for hydroxycitronellal.</t>
  </si>
  <si>
    <t>Food Additive Hydroxycitronellal</t>
  </si>
  <si>
    <t>G/SPS/N/CHN/789</t>
  </si>
  <si>
    <t>National Food Safety Standard: Food Additive Jasminum Sambac Extract</t>
  </si>
  <si>
    <t>This standard applies to the food additive Jasminum sambac extract which using Jasminum sambac flowers as raw material. It specifies the technical requirements and test methods for Jasminum sambac extract.</t>
  </si>
  <si>
    <t>Food additive Jasminum sambac extract</t>
  </si>
  <si>
    <t>G/SPS/N/CHN/788</t>
  </si>
  <si>
    <t>National Food Safety Standard: Food Additive Xylitol Monostearate</t>
  </si>
  <si>
    <t>This standard applies to food additive Xylitol monostearate using xylitol or xylitol mother liquid as raw material and reacted with stearic acid. It specifies the technical requirements and test methods for food additive Xylitol monostearate.</t>
  </si>
  <si>
    <t>Food additive Xylitol monostearate</t>
  </si>
  <si>
    <t>G/SPS/N/CHN/787</t>
  </si>
  <si>
    <t>National Food Safety Standard: Food Additive Black Soya Bean Red Pigment</t>
  </si>
  <si>
    <t>This standard applies to food additive Black soya bean red pigment using the testa of the Black bean (Glyeine Soja Sieb.et Zucc) as raw material  obtained through the extraction of black beans with dilute ethanol solution using enrichment and drying techniques. It specifies the technical requirements and test methods for food additive black soya bean red pigment.</t>
  </si>
  <si>
    <t>Food additive Black soya bean red pigment</t>
  </si>
  <si>
    <t>G/SPS/N/CHN/786</t>
  </si>
  <si>
    <t>National Food Safety Standard: Food Additive Shellac (Lac)</t>
  </si>
  <si>
    <t>This standard applies to food additive shellac produced by thermofiltration or solvent extraction  food additive decolorized shellac produced by active carbon-decoloring process and food additive bleached shellac produced by bleaching process. It specifies the technical requirements and test methods for food additive shellac (Lac).</t>
  </si>
  <si>
    <t>Food additive Shellac (Lac)</t>
  </si>
  <si>
    <t>G/SPS/N/CHN/785</t>
  </si>
  <si>
    <t>National Food Safety Standard: Food Additive D-Isoascorbic Acid</t>
  </si>
  <si>
    <t>This standard applies to food additive D-isoascorbic acid obtained from glucose with fermentation (2-keto-D-gluconic acid as the product)  esterification  acidification and refinement. It specifies the technical requirements and test methods for food additive D-isoascorbic acid.</t>
  </si>
  <si>
    <t>Food additive D-Isoascorbic acid</t>
  </si>
  <si>
    <t>G/SPS/N/CHN/784</t>
  </si>
  <si>
    <t>National Food Safety Standard: Food Additive Coreopsis Yellow Extract</t>
  </si>
  <si>
    <t>This standard applies to food additive coreopsis yellow extract obtained from coreopsis inflorescence (Coreopsis lanceolate L.) with water extraction. It specifies the technical requirements and test methods for food additive coreopsis yellow extract.</t>
  </si>
  <si>
    <t>Food additive Coreopsis yellow extract</t>
  </si>
  <si>
    <t>G/SPS/N/CHN/783</t>
  </si>
  <si>
    <t>National Food Safety Standard: Food Additive Monopotassium glycyrrhinate</t>
  </si>
  <si>
    <t>This standard applies to food additive monopotassium glycyrrhinate using radix glycyrrhizae as raw material  obtained through extraction process. It specifies the technical requirements and test methods for food additive monopotassium glycyrrhinate.</t>
  </si>
  <si>
    <t>Food additive Monopotassium glycyrrhinate</t>
  </si>
  <si>
    <t>G/SPS/N/CHN/782</t>
  </si>
  <si>
    <t>National Food Safety Standard: Food Additive Paprika Red</t>
  </si>
  <si>
    <t>This standard applies to food additive Food additive paprika red produced from pepper (Capsicum annuum L.) pericarp and its products through extraction  filtration  concentration and decapsaicin processes. It specifies the technical requirements and test methods of food additive Food additive paprika red.</t>
  </si>
  <si>
    <t>Food additive paprika red</t>
  </si>
  <si>
    <t>G/SPS/N/CHN/781</t>
  </si>
  <si>
    <t>National Food Safety Standard: Food Additive Polyoxyethylene xylitan monostearate</t>
  </si>
  <si>
    <t>This standard applies to food additive polyoxyethylene monostearate xylitol using xylitol monostearate as raw material  obtained through alkaline catalysed polymerization with ethylene oxide. It specifies the technical requirements and test methods for food additive Polyoxyethylene xylitan monostearate.</t>
  </si>
  <si>
    <t>Food additive Polyoxyethylene xylitan monostearate</t>
  </si>
  <si>
    <t>G/SPS/N/CHN/780</t>
  </si>
  <si>
    <t>National Food Safety Standard: Food Additive Sodium hexametaphosphate</t>
  </si>
  <si>
    <t>This standard applies to food additive sodium hexametaphosphate. It specifies the technical requirements and test methods for food additive sodium hexametaphosphate.</t>
  </si>
  <si>
    <t>Food additive Sodium hexametaphosphate</t>
  </si>
  <si>
    <t>G/SPS/N/CHN/779</t>
  </si>
  <si>
    <t>National Food Safety Standard: Food Additive Red kojic rice</t>
  </si>
  <si>
    <t>This standard applies to food additive Red kojic rice which is presented as red particles  using rise as raw material  obtained through monascus fermentation. It specifies the technical requirements and test methods for food additive red kojic rice.</t>
  </si>
  <si>
    <t>Food additive Red kojic rice</t>
  </si>
  <si>
    <t>G/SPS/N/CHN/778</t>
  </si>
  <si>
    <t>National Food Safety Standard: Food Additive Lac color (Lac red)</t>
  </si>
  <si>
    <t xml:space="preserve">This standard applies to food additive Lac color obtained from sticklac with hydrochloric acid method. It specifies the technical requirements and test methods for food additive Lac color (Lac red). </t>
  </si>
  <si>
    <t>Food additive Lac color (Lac red)</t>
  </si>
  <si>
    <t>G/SPS/N/CHN/777</t>
  </si>
  <si>
    <t>National Food Safety Standard: Food Additive Beet Red</t>
  </si>
  <si>
    <t>This standard applies to food additive Beet Red obtained from root of red beet with water extraction  concentration and spray drying. It specifies the technical requirements and test methods for food additive Beet Red.</t>
  </si>
  <si>
    <t>Food additive Beet Red</t>
  </si>
  <si>
    <t>G/SPS/N/CHN/776</t>
  </si>
  <si>
    <t>National Food Safety Standard: Food Additive Natural Amaranth Red</t>
  </si>
  <si>
    <t>This standard applies to food additive natural Amaranth Red obtained from edible part of red amaranth (Amaranthus tricolor L.) with water extraction and ethanol Purification. It specifies the technical requirements and test methods for food additive Natural Amaranth Red.</t>
  </si>
  <si>
    <t>Food additive Natural Amaranth Red</t>
  </si>
  <si>
    <t>G/SPS/N/CHN/775</t>
  </si>
  <si>
    <t>National Food Safety Standard: Food Additive Sodium sulfite</t>
  </si>
  <si>
    <t>This standard applies to food additive Sodium sulfite. It specifies the technical requirements and test methods for food additive Sodium sulfite.</t>
  </si>
  <si>
    <t>Food additive Sodium sulfite</t>
  </si>
  <si>
    <t>G/SPS/N/CHN/774</t>
  </si>
  <si>
    <t>National Food Safety Standard: Food Additive Hydroxypropyl methyl cellulose (HPMC)</t>
  </si>
  <si>
    <t>This standard applies to the food additive hydroxypropyl methyl cellulose (HPMC). It specifies the technical requirements and test methods for food additive Hydroxypropyl methyl cellulose (HPMC).</t>
  </si>
  <si>
    <t>Food additive Hydroxypropyl methyl cellulose (HPMC)</t>
  </si>
  <si>
    <t>G/SPS/N/CHN/773</t>
  </si>
  <si>
    <t>National Food Safety Standard: Food Additive Azodicarbonamide</t>
  </si>
  <si>
    <t>This standard applies to the food additive azodicarbonamide. It specifies the technical requirements and test methods for food additive azodicarbonamide.</t>
  </si>
  <si>
    <t>Food additive Azodicarbonamide</t>
  </si>
  <si>
    <t>G/SPS/N/CHN/772</t>
  </si>
  <si>
    <t>National Food Safety Standard: Food Additive Sodium Dihydrogen Citrate</t>
  </si>
  <si>
    <t>This standard applies to the food additive Sodium Dihydrogen Citrate. It specifies the technical requirements and test methods for food additive Sodium Dihydrogen Citrate.</t>
  </si>
  <si>
    <t>Food additive Sodium Dihydrogen Citrate</t>
  </si>
  <si>
    <t>G/SPS/N/CHN/771</t>
  </si>
  <si>
    <t>National Food Safety Standard: Food Additive Tamarind Polysaccharide Gum</t>
  </si>
  <si>
    <t>This standard applies to food additive Tamarind Tolysaccharide Gum using legume Tamarindus (Tamarindus indica L.) seed endosperm as main raw materials  obtained through dispersed  settlement  heating  cooling crystallization  centrifugal  drying  crushing and other major processes. It specifies the technical requirements and test methods for food additive tamarind polysaccharide gum.</t>
  </si>
  <si>
    <t>Food additive Tamarind Polysaccharide Gum</t>
  </si>
  <si>
    <t>G/SPS/N/CHN/770</t>
  </si>
  <si>
    <t>National Food Safety Standard: Food Additive Paprika Orange</t>
  </si>
  <si>
    <t>This standard applies to food additives Paprika Orange  using pepper pericarp and its products as raw materials  obtained through extraction  filtering  concentrating  removing capsaicin and other processes. It specifies the technical requirements and test methods for food additive Paprika Orange.</t>
  </si>
  <si>
    <t>Food additive Paprika Orange</t>
  </si>
  <si>
    <t>G/SPS/N/CHN/769</t>
  </si>
  <si>
    <t>National Food Safety Standard: Food Additive Quinoline Yellow</t>
  </si>
  <si>
    <t xml:space="preserve">This standard applies to the food additive Quinoline Yellow using 2-(2-quinolyl)-1 3-indandione or a mixture containing about two-thirds 2-(2-quinolyl)-1 3-indandione and one-third 2-[2-(6-methyl-quinolyl)]1 3-indandione as raw materials  produced through sulfuration. It specifies the technical requirements and test methods for food additive Quinoline Yellow. </t>
  </si>
  <si>
    <t>Food additive Quinoline Yellow</t>
  </si>
  <si>
    <t>G/SPS/N/CHN/768</t>
  </si>
  <si>
    <t>National Food Safety Standard: Food Additive Microcrystalline Cellulose</t>
  </si>
  <si>
    <t xml:space="preserve">This standard applies to the food additive microcrystalline cellulose which uses fiber plant material and inorganic acid and gets them pounded into paste as raw materials  made into alpha cellulose  then depolymerizing part of cellulose  followed by removing the non-crystalline portion and purification. It specifies the technical requirements and test methods for food additive microcrystalline cellulose. </t>
  </si>
  <si>
    <t>Food additive Microcrystalline Cellulose</t>
  </si>
  <si>
    <t>G/SPS/N/CHN/767</t>
  </si>
  <si>
    <t>National Food Safety Standard: Food Nutritional Fortifier Disodium 5'-Cytidylate</t>
  </si>
  <si>
    <t xml:space="preserve">This standard applies to the food nutritional fortifier Disodium 5'-Cytidylate. It specifies the technical requirements and test methods for food nutritional fortifier Disodium 5'-Cytidylate. </t>
  </si>
  <si>
    <t>Food nutritional fortifier Disodium 5'-Cytidylate</t>
  </si>
  <si>
    <t>G/SPS/N/CHN/766</t>
  </si>
  <si>
    <t>National food safety standard: Food Additive L-Malic Acid</t>
  </si>
  <si>
    <t>This standard applies to food additives L-Malic acid prepared by enzyme engineering and fermentation method. It specifies the technical requirements and test methods for food additive L-Malic acid.</t>
  </si>
  <si>
    <t>Food additive L-Malic acid</t>
  </si>
  <si>
    <t>G/SPS/N/CHN/765</t>
  </si>
  <si>
    <t>National food safety standard: Food Additive Butylated Hydroxyanisole</t>
  </si>
  <si>
    <t>This standard applies to the food additive butylated hydroxyanisole using tertiary butyl alcohol and p-Hydroxyanisole or hydroquinone as raw materials. It specifies the technical requirements and test methods for food additive butylated hydroxyanisole.</t>
  </si>
  <si>
    <t>Food additive Butylated hydroxyanisole</t>
  </si>
  <si>
    <t>G/SPS/N/CHN/764</t>
  </si>
  <si>
    <t>National food safety standard: Food Additive dl-Tartaric Acid</t>
  </si>
  <si>
    <t>This standard applies to the food additive dl-Tartaric acid using Maleic anhydride and hydrogen peroxide as raw materials  produced by oxidation and hydrolysis. It specifies the technical requirements and test methods for food additive dl-Tartaric acid.</t>
  </si>
  <si>
    <t>Food additive dl-Tartaric acid</t>
  </si>
  <si>
    <t>G/SPS/N/CHN/763</t>
  </si>
  <si>
    <t>National food safety standard: Food Additive Sucrose Esters of Fatty Acid</t>
  </si>
  <si>
    <t>This standard applies to the food additive sucrose esters of fatty acid using sugar and edible oils or fatty acid as main raw material  obtained by esterification and refining process. It specifies the technical requirements and test methods for food additive sucrose esters of fatty acid.</t>
  </si>
  <si>
    <t>Food additive Sucrose esters of fatty acid</t>
  </si>
  <si>
    <t>G/SPS/N/CAN/896/Add.1</t>
  </si>
  <si>
    <t>G/SPS/N/SAU/14/Add.1</t>
  </si>
  <si>
    <t>G/SPS/N/CHN/762</t>
  </si>
  <si>
    <t>National Food Safety Standard: Food Additive Calcium Lactate</t>
  </si>
  <si>
    <t xml:space="preserve">This standard applies to the food additive calcium lactate which uses starch and sugar as raw materials  obtained through lactobacillus fermentation and direct extraction process  and obtained from the synthesis with lactic acid and calcium hydroxide (or calcium carbonate). It specifies the technical requirements and test methods for food additive calcium lactate. </t>
  </si>
  <si>
    <t>Food additive Calcium lactate</t>
  </si>
  <si>
    <t>G/SPS/N/CHN/761</t>
  </si>
  <si>
    <t>National Food Safety Standard: Food Additive Sodium Ascorbate</t>
  </si>
  <si>
    <t xml:space="preserve">This standard applies to the food additive sodium ascorbate which uses ascorbic acid and sodium salt as raw materials. It specifies the technical requirements and test methods for food additive sodium ascorbate. </t>
  </si>
  <si>
    <t>Food additive Sodium ascorbate</t>
  </si>
  <si>
    <t>G/SPS/N/CHN/760</t>
  </si>
  <si>
    <t>National Food Safety Standard: Food Additive Calcium Stearate</t>
  </si>
  <si>
    <t>This standard applies to food additive calcium stearate prepared by filtrating after reaction between sodium stearate and calcium chloride solution. It specifies the technical requirements and test methods for food additive calcium stearate.</t>
  </si>
  <si>
    <t>Food additive calcium stearate</t>
  </si>
  <si>
    <t>G/SPS/N/CHN/759</t>
  </si>
  <si>
    <t>National Food Safety Standard: Food Nnutritional Fortifier Ferrous Lactate</t>
  </si>
  <si>
    <t>This standard applies to food nutritional fortifier ferrous lactate obtained through reaction between calcium lactate  sodium lactate or ammonium lactate and ferrous sulphate or ferrous sulphate  or by direct reaction between lactic acid and iron filings. It specifies the technical requirements and test methods for nutritional fortification substance ferrous lactate.</t>
  </si>
  <si>
    <t>Food nutritional fortifier Ferrous lactate</t>
  </si>
  <si>
    <t>G/SPS/N/CHN/758</t>
  </si>
  <si>
    <t>National Food Safety Standard: Food Aadditive Stearic Acid (Octadecanoic Acid)</t>
  </si>
  <si>
    <t>This standard applies to food additive stearic acid which is mainly produced from fat such as stearic acid and palmitic acid. It specifies the technical requirements and test methods for stearic acid (octadecanoic acid).</t>
  </si>
  <si>
    <t>Food additive Stearic acid (octadecanoic acid)</t>
  </si>
  <si>
    <t>G/SPS/N/CHN/757</t>
  </si>
  <si>
    <t>National Food Safety Standard: Food Additive  Disodium Eethylene-diamine-tetra-acetate</t>
  </si>
  <si>
    <t>This standard applies to food additive Disodium ethylene-diamine-tetra-acetate. It specifies the technical requirements and test methods for food additive Disodium ethylene-diamine-tetra-acetate.</t>
  </si>
  <si>
    <t>Food additive Disodium ethylene-diamine-tetra-acetate</t>
  </si>
  <si>
    <t>G/SPS/N/CHN/756</t>
  </si>
  <si>
    <t>National Food Safety Standard: Food Additive L-a-Aspartyl-N-(2 2 4 4-tetramethyl-3-thietanyl)-D-alaninamide (Alitame)</t>
  </si>
  <si>
    <t xml:space="preserve">This standard applies to the food additive L-a-Aspartyl-N-(2 2 4 4-tetramethyl-3-thietanyl)-D-alaninamide (Alitame). It specifies the technical requirements and test methods for food additive L-a-Aspartyl-N-(2 2 4 4-tetramethyl-3-thietanyl)-D-alaninamide(Alitame). </t>
  </si>
  <si>
    <t>Food additive L-a-Aspartyl-N-(2 2 4 4-tetramethyl-3-thietanyl)-D-alaninamide (Alitame)</t>
  </si>
  <si>
    <t>G/SPS/N/CHN/755</t>
  </si>
  <si>
    <t>National Food Safety Standard: Food Additive Lactitol (4-b-D-Galactopyranosyl-D-glucitol)</t>
  </si>
  <si>
    <t xml:space="preserve">This standard applies to the food additive lactitol (4-b-D-Galactopyranosyl-D-glucitol). It specifies the technical requirements and test methods for food additive lactitol (4-b-D-Galactopyranosyl-D-glucitol). </t>
  </si>
  <si>
    <t>Food additive Lactitol (4-b-D-Galactopyranosyl-D-glucitol)</t>
  </si>
  <si>
    <t>G/SPS/N/CHN/754</t>
  </si>
  <si>
    <t>National Food Safety Standard: Food Additive Phosphoric Acid</t>
  </si>
  <si>
    <t xml:space="preserve">This standard applies to the food additive phosphoric acid produced by hot process. It specifies the technical requirements and test methods for food additive phosphoric acid. </t>
  </si>
  <si>
    <t>Food additive Phosphoric acid</t>
  </si>
  <si>
    <t>G/SPS/N/CHN/753</t>
  </si>
  <si>
    <t>National Food Safety Standard: Food Additive Potassium Permanganate</t>
  </si>
  <si>
    <t xml:space="preserve">This standard applies to the food additive potassium permanganate. It specifies the technical requirements and test methods for food additive potassium permanganate. </t>
  </si>
  <si>
    <t>Food additive Potassium permanganate</t>
  </si>
  <si>
    <t>G/SPS/N/CHN/752</t>
  </si>
  <si>
    <t xml:space="preserve">National Food Safety Standard: Food Additive Ethyl P-oxybenzoate </t>
  </si>
  <si>
    <t xml:space="preserve">This standard applies to the food additive ethyl p-oxybenzoate produced from the esterification between p-hydroxybenzoic acid and ethanol  with sulfuric acid as a catalyst. It specifies the technical requirements and test methods for food additive ethyl p-oxybenzoate. </t>
  </si>
  <si>
    <t>Food additive Ethyl p-oxybenzoate</t>
  </si>
  <si>
    <t>G/SPS/N/CHN/751</t>
  </si>
  <si>
    <t>National Food Safety Standard: Food Additive Disodium 5'-inosinate</t>
  </si>
  <si>
    <t>This standard applies to the food additive Disodium 5'-inosinate which uses starch and sugar as raw material  produced by fermentation or enzymolysis. It specifies the technical requirements and test methods for food additive Disodium 5'-inosinate.</t>
  </si>
  <si>
    <t>Food additive Disodium 5'-inosinate</t>
  </si>
  <si>
    <t>G/SPS/N/CHN/750</t>
  </si>
  <si>
    <t>National Food Safety Standard: Food Additive Pentaerythritol Ester of Wood Rosin</t>
  </si>
  <si>
    <t>This standard applies to the food additive pentaerythritol ester of wood rosin which is prepared by the esterification of pentaerythritol with modified wood rosin or pale rosin. It specifies the technical requirements and test methods for food additive pentaerythritol ester of wood rosin.</t>
  </si>
  <si>
    <t>Food additive pentaerythritol ester of wood rosin</t>
  </si>
  <si>
    <t>G/SPS/N/CHN/749</t>
  </si>
  <si>
    <t>National Food Safety Standard: Food Additive Polyglycerol Esters of Interesterified Ricinoleic Acid (PGPR)</t>
  </si>
  <si>
    <t xml:space="preserve">This standard applies to the food additive polyglycerol esters of interesterified ricinoleic acid (PGPR) which uses polyglycerol and condensed castor oil fatty acids as raw materials  produced by the esterification. It specifies the technical requirements and test methods for food additive Polyglycerol esters of interesterified ricinoleic acid (PGPR). </t>
  </si>
  <si>
    <t>Food additive Polyglycerol esters of interesterified ricinoleic acid (PGPR)</t>
  </si>
  <si>
    <t>G/SPS/N/CHN/748</t>
  </si>
  <si>
    <t>National Food Safety Standard: Food Additive Potassium Nitrite</t>
  </si>
  <si>
    <t xml:space="preserve">This standard applies to the food additive potassium nitrite. It specifies the technical requirements and test methods for food additive potassium nitrite. </t>
  </si>
  <si>
    <t>Food additive potassium nitrite</t>
  </si>
  <si>
    <t>G/SPS/N/CHN/747</t>
  </si>
  <si>
    <t>National Food Safety Standard: Food Additive Lactic and Fatty Acid Eesters of Gglycerol</t>
  </si>
  <si>
    <t xml:space="preserve">This standard applies to the food additive lactic and fatty acid esters of glycerol. It specifies the technical requirements and test methods for food additive lactic and fatty acid esters of glycerol. </t>
  </si>
  <si>
    <t>Food additive lactic and fatty acid esters of glycerol</t>
  </si>
  <si>
    <t>G/SPS/N/CHN/746</t>
  </si>
  <si>
    <t>National Food Safety Standard  Food Additives Calcium Hydrogen Phosphate</t>
  </si>
  <si>
    <t>This standard applies to food additives calcium hydrogen phosphate. It specifies the technical requirements and test methods for food additive calcium hydrogen phosphate.</t>
  </si>
  <si>
    <t>Food Additives Calcium hydrogen phosphate</t>
  </si>
  <si>
    <t>G/SPS/N/CHN/745</t>
  </si>
  <si>
    <t>National Food Safety Standard:  Food Additives Sodium Nitrite</t>
  </si>
  <si>
    <t>This standard applies to food additives sodium Nitrite. It specifies the technical requirements and test methods for food additive sodium Nitrite.</t>
  </si>
  <si>
    <t>Food Additives Sodium Nitrite</t>
  </si>
  <si>
    <t>G/SPS/N/CHN/744</t>
  </si>
  <si>
    <t>National Food Safety Standard: Food Additives Calcium Sulfate</t>
  </si>
  <si>
    <t>This standard applies to food additives calcium sulphate. It specifies the technical requirements and test methods for food additive calcium sulphate.</t>
  </si>
  <si>
    <t>Food Additives Calcium Sulphate</t>
  </si>
  <si>
    <t>G/SPS/N/CHN/743</t>
  </si>
  <si>
    <t>National Food Safety Standard: Food Nutritional Fortifier L-Lysine Monohydrochloride</t>
  </si>
  <si>
    <t>Apply to Food nutritional fortifier L-Lysine monohydrochloride which uses starch or glucose as raw materials  obtained through fermentation and purification processes. It specifies the technical requirements and test methods for L-Lysine monohydrochloride.</t>
  </si>
  <si>
    <t>Food nutritional fortifier L-Lysine Monohydrochloride</t>
  </si>
  <si>
    <t>G/SPS/N/CHN/742</t>
  </si>
  <si>
    <t>National Food Safety Standard  Food Additives Sodium Stearoyl Lactylate</t>
  </si>
  <si>
    <t>This standard applies to food additives Sodium stearoyl lactylate. It specifies the technical requirements and test methods for food additive Sodium stearoyl lactylate.</t>
  </si>
  <si>
    <t>Food Additives Sodium stearoyl lactylate</t>
  </si>
  <si>
    <t>G/SPS/N/CHN/741</t>
  </si>
  <si>
    <t>National Food Safety Standard  Food Additives Magnesium Stearate</t>
  </si>
  <si>
    <t>Apply to food additives magnesium Stearate. It specifies the technical requirements and test methods for food additives magnesium Stearate.</t>
  </si>
  <si>
    <t>Food Additives Magnesium Stearate</t>
  </si>
  <si>
    <t>G/SPS/N/CHN/740</t>
  </si>
  <si>
    <t>National Food Safety Standard:  Food Additives Sodium Hyposulfite</t>
  </si>
  <si>
    <t>Applies to food additive Sodium hyposulfite. It specifies the technical requirements and test methods for food additive Sodium hyposulfite.</t>
  </si>
  <si>
    <t>Food Additives Sodium hyposulfite</t>
  </si>
  <si>
    <t>G/SPS/N/CHN/739</t>
  </si>
  <si>
    <t>National Food Safety Standard: Food Additive Sodium Metabisulphite</t>
  </si>
  <si>
    <t>This standard applies to food additive sodium metabisulphite. It specifies the technical requirements and test methods for food additive sodium metabisulphite.</t>
  </si>
  <si>
    <t>Food Additive Sodium Metabisulphite</t>
  </si>
  <si>
    <t>G/SPS/N/CHN/738</t>
  </si>
  <si>
    <t xml:space="preserve">National Food Safety Standard: Food Additive Paraffin </t>
  </si>
  <si>
    <t>This standard applies to food additive paraffin produced by sweating or solvent deoiling of oily wax  followed by hydrotreating (refined) and clay refining. It specifies the technical requirements and test methods for food additive paraffin.</t>
  </si>
  <si>
    <t>Food Additive Paraffin</t>
  </si>
  <si>
    <t>G/SPS/N/CHN/737</t>
  </si>
  <si>
    <t>National Food Safety Standard  Food Additives Trisodium Citrate</t>
  </si>
  <si>
    <t>This standard applies to food additive trisodium citrate produced by the fermentation and purication of starchiness or saccharic. It specifies the technical requirements and test methods for food additive trisodium citrate.</t>
  </si>
  <si>
    <t>Food Additive Trisodium citrate</t>
  </si>
  <si>
    <t>G/SPS/N/CHN/736</t>
  </si>
  <si>
    <t>National Food Safety Standard: Food Additive Sodium Hydrogen Carbonate</t>
  </si>
  <si>
    <t>This standard applies to food additive sodium hydrogen carbonate. It specifies the technical requirements and test methods for food additive sodium hydrogen carbonate.</t>
  </si>
  <si>
    <t>Food Additive Sodium hydrogen carbonate</t>
  </si>
  <si>
    <t>G/SPS/N/CHN/735</t>
  </si>
  <si>
    <t>National Food Safety Standard: Food Additive Sodium Carbonate</t>
  </si>
  <si>
    <t>This standard applies to food additive sodium carbonate. It specifies the technical requirements and test methods for food additive sodium carbonate.</t>
  </si>
  <si>
    <t>Food Additive Sodium Carbonate</t>
  </si>
  <si>
    <t>G/SPS/N/CHN/734</t>
  </si>
  <si>
    <t>National Food Safety Standard:  Food Additive Calcium Chloride</t>
  </si>
  <si>
    <t>This standard applies to food additive calcium chloride. It specifies the technical requirements and test methods for food additive calcium chloride.</t>
  </si>
  <si>
    <t>Food Additive Calcium Chloride</t>
  </si>
  <si>
    <t>G/SPS/N/CHN/733</t>
  </si>
  <si>
    <t>National Food Safety Standard: Food Additive Potassium Sorbate</t>
  </si>
  <si>
    <t>This standard applies to food additives potassium sorbate produced from the sorbic acid and potassium carbonate (or potassium hydroxide) with water through solvent reaction. It specifies the technical requirements and test extraction methods for food additive Potassium sorbate.</t>
  </si>
  <si>
    <t>Food additive Potassium sorbate</t>
  </si>
  <si>
    <t>G/SPS/N/CHN/732</t>
  </si>
  <si>
    <t>National Food Safety Standard: Food additive Sodium hydroxide</t>
  </si>
  <si>
    <t>This standard applies to food additive sodium hydroxide. It specifies the technical requirements and testing methods for food additive sodium hydroxide.</t>
  </si>
  <si>
    <t>Food additive Sodium hydroxide</t>
  </si>
  <si>
    <t>G/SPS/N/CHN/731</t>
  </si>
  <si>
    <t>National Food Safety Standard: Food additive Sorghum red</t>
  </si>
  <si>
    <t xml:space="preserve">This standard applies to food additives sorghum red which uses dark purple or red brown sorghum shell as raw materials  then extracted by water or dilute aqueous  followed by enrichment and drying. It specifies the technical requirements and testing methods for food additive sorghum red. </t>
  </si>
  <si>
    <t>Food additive Sorghum red</t>
  </si>
  <si>
    <t>G/SPS/N/CHN/730</t>
  </si>
  <si>
    <t>National Food Safety Standard: Food additive Cocoa husk pigment</t>
  </si>
  <si>
    <t xml:space="preserve">This standard applies to food additives cocoa husk pigment produced from the cocoa shell as raw materials through aqueous solution  refining  concentration  drying. It specifies the technical requirements and testing methods for food additive Cocoa husk pigment. </t>
  </si>
  <si>
    <t>Food additive Cocoa husk pigment</t>
  </si>
  <si>
    <t>G/SPS/N/CHN/729</t>
  </si>
  <si>
    <t>National Food Safety Standard: Food additive xanthan gum</t>
  </si>
  <si>
    <t>This standard applies to food additives xanthan gum which uses starch as the main raw material and Xanthomonas of anglin black rot as producing bacteria  obtained through specific biological fermentation and purification  drying  crushing. It specifies the technical requirements and testing methods for food additive xanthan gum.</t>
  </si>
  <si>
    <t>Food additive xanthan gum</t>
  </si>
  <si>
    <t>G/SPS/N/CHN/728</t>
  </si>
  <si>
    <t>National Food Safety Standard: Food additive Calcium silicate</t>
  </si>
  <si>
    <t xml:space="preserve">This standard applies to food additive calcium silicate produced from the newly slaked lime which reacted and combined into silicon dioxide. It specifies the technical requirements and testing methods for food additive calcium silicate. </t>
  </si>
  <si>
    <t>Food additive Calcium silicate</t>
  </si>
  <si>
    <t>G/SPS/N/CHN/727</t>
  </si>
  <si>
    <t>National Food Safety Standard: Food additive Antioxidant of glycyrrhiza</t>
  </si>
  <si>
    <t xml:space="preserve">This standard applies to food additive Antioxidant of glycyrrhiza produced from the licorice root through physical extract method using organic solvent. It specifies the technical requirements and test methods for food additive Antioxidant of glycyrrhiza. </t>
  </si>
  <si>
    <t>Food additive Antioxidant of glycyrrhiza</t>
  </si>
  <si>
    <t>G/SPS/N/CHN/726</t>
  </si>
  <si>
    <t>National Food Safety Standard: Food additive Monosodium fumarate</t>
  </si>
  <si>
    <t xml:space="preserve">This standard applies to food additive Monosodium fumarate produced from fumaric acid and sodium hydroxide through Moore reactions  delicate concentration  crystallization and dry processes. It specifies the technical requirements and test methods for food additive Monosodium fumarate. </t>
  </si>
  <si>
    <t>Food additive Monosodium fumarate</t>
  </si>
  <si>
    <t>G/SPS/N/CHN/725</t>
  </si>
  <si>
    <t xml:space="preserve">National Food Safety Standard: Food additive beeswax </t>
  </si>
  <si>
    <t xml:space="preserve">This standard applies to food additives beeswax produced from honeycomb through removing honey. It specifies the technical requirements and testing methods for food additive beeswax. </t>
  </si>
  <si>
    <t>Food additive beeswax</t>
  </si>
  <si>
    <t>G/SPS/N/CHN/724</t>
  </si>
  <si>
    <t xml:space="preserve">National Food Safety Standard: Food additive tara gum  </t>
  </si>
  <si>
    <t xml:space="preserve">This standard applies to food additives tara gum produced from the endosperm of tara seed as raw material through grinding process. It specifies the technical requirements and testing methods for food additive tara gum. </t>
  </si>
  <si>
    <t>Food additive tara gum</t>
  </si>
  <si>
    <t>G/SPS/N/CHN/723</t>
  </si>
  <si>
    <t>National Food Safety Standard: Food additive acetic acid  glacial (Low-pressure carbonylation method)</t>
  </si>
  <si>
    <t xml:space="preserve">This standard applies to food additive acetic acid  glacial produced from methanol and carbon monoxide as raw materials through the low-pressure carbonylation method. It specifies the technical requirements and testing methods for food additive acetic acid  glacial (Low-pressure carbonylation method). </t>
  </si>
  <si>
    <t>Food additive acetic acid  glacial (Low-pressure carbonylation method)</t>
  </si>
  <si>
    <t>G/SPS/N/CHN/722</t>
  </si>
  <si>
    <t>National Food Safety Standard: Food additive Carnauba wax</t>
  </si>
  <si>
    <t xml:space="preserve">This standard applies to food additives Carnauba wax produced from copernicia cerifera leaf and leaf bud as raw materials  obtained through refining. It specifies the technical requirements and testing methods for food additive Carnauba wax. </t>
  </si>
  <si>
    <t>Food additive Carnauba wax.</t>
  </si>
  <si>
    <t>G/SPS/N/CHN/721</t>
  </si>
  <si>
    <t>National food safety standard: Food additive b-Carotene (salt alga originated)</t>
  </si>
  <si>
    <t xml:space="preserve">This standard applies to food additives b-Carotene produced from salt alga as raw material through physical method. It specifies the technical requirements and test methods for food additive b-Carotene (salt alga originated). </t>
  </si>
  <si>
    <t>Food additive b-Carotene (salt alga originated)</t>
  </si>
  <si>
    <t>G/SPS/N/CHN/720</t>
  </si>
  <si>
    <t>National food safety standard: Food additive Aspartame</t>
  </si>
  <si>
    <t xml:space="preserve">This standard applies to food additives asp acyl methyl phenylalanine (Aspartame) produced from L-phenylalanine and L-aspartate. It specifies the technical requirements and test methods for food additive Aspartame. </t>
  </si>
  <si>
    <t>Food additive Aspartame</t>
  </si>
  <si>
    <t>G/SPS/N/CHN/719</t>
  </si>
  <si>
    <t>National Food Safety Standard: Food additive Sodium D-isoascorbate</t>
  </si>
  <si>
    <t>This standard applies to food additive Sodium D-isoascorbate produced from glucose as raw materials through fermentation  esterification  conversion reaction and refining processes. It specifies the technical requirements and test methods for food additive Sodium D-isoascorbate.</t>
  </si>
  <si>
    <t>Food additive Sodium D-isoascorbate</t>
  </si>
  <si>
    <t>G/SPS/N/CHN/718</t>
  </si>
  <si>
    <t>National Food Safety Standard: Food additive Sodium cyclamate</t>
  </si>
  <si>
    <t>This standard applies to the food additive sodium cyclamate produced from glucose as raw materials through fermentation  esterification  conversion reaction and refining processes. It specifies the technical requirements and test methods for food additive Sodium cyclamate.</t>
  </si>
  <si>
    <t>Food additive Sodium cyclamate</t>
  </si>
  <si>
    <t>G/SPS/N/CHN/717</t>
  </si>
  <si>
    <t>National Food Safety Standard: Food nutritional fortifier Zinc oxide</t>
  </si>
  <si>
    <t>This standard applies to food nutritional fortifier zinc oxide. It specifies the technical requirements and test methods for zinc oxide.</t>
  </si>
  <si>
    <t>Food nutritional fortifier Zinc oxide</t>
  </si>
  <si>
    <t>G/SPS/N/CHN/716</t>
  </si>
  <si>
    <t>National Food Safety Standard: Food additive Hydrochloric acid</t>
  </si>
  <si>
    <t xml:space="preserve">This standard applies to the food additive hydrochloric acid which is a synthesis of chlorine and hydrogen obtained through the water absorption. It specifies the technical requirements and test methods for food additive hydrochloric acid. </t>
  </si>
  <si>
    <t>Food additive Hydrochloric acid</t>
  </si>
  <si>
    <t>G/SPS/N/CHN/715</t>
  </si>
  <si>
    <t xml:space="preserve">National Food Safety Standard: Food additive Acetic acid  glacial </t>
  </si>
  <si>
    <t>This standard applies to food additive acetic acid  glacial  a synthesis of Ethanol produced through fermentation. It specifies the technical requirements and test methods for food additive acetic acid  glacial</t>
  </si>
  <si>
    <t>Food additive acetic acid  glacial</t>
  </si>
  <si>
    <t>G/SPS/N/CHN/714</t>
  </si>
  <si>
    <t xml:space="preserve">National Food Safety Standard: Food additive Propyl gallate </t>
  </si>
  <si>
    <t xml:space="preserve">This standard applies to food additive propyl gallate produced from gallic acid and n-propyl alcohol by heating and esterifying under the control of acid dehydrating agent. It specifies the technical requirements and test methods for propyl gallate. </t>
  </si>
  <si>
    <t>Food additive Propyl gallate</t>
  </si>
  <si>
    <t>G/SPS/N/CHN/713</t>
  </si>
  <si>
    <t>National Food Safety Standard: Food additive Sodium nitrate</t>
  </si>
  <si>
    <t xml:space="preserve">This standard applies to food additive Sodium nitrate. It specifies the technical requirements and test methods for food additive Sodium nitrate. </t>
  </si>
  <si>
    <t>Food additive Sodium nitrate</t>
  </si>
  <si>
    <t>G/SPS/N/CHN/712</t>
  </si>
  <si>
    <t>National Food Safety Standard: Food additive Calcium ascorbate</t>
  </si>
  <si>
    <t xml:space="preserve">This standard applies to food additive Calcium ascorbate which uses ascorbic acid and calcium salt as raw materials. It specifies the technical requirements and test methods for food additive Calcium ascorbate. </t>
  </si>
  <si>
    <t>Food additive Calcium ascorbate</t>
  </si>
  <si>
    <t>G/SPS/N/CHN/711</t>
  </si>
  <si>
    <t>National Food Safety Standard: Food additive Glucono delta-Lactone</t>
  </si>
  <si>
    <t xml:space="preserve">This standard applies to the food additive Glucono delta-Lactone which is extracted from the reaction products of D - calcium gluconate and sulfuric acid. It specifies the technical requirements and test methods for food additive Glucono delta-Lactone. </t>
  </si>
  <si>
    <t>Food additive Glucono delta-Lactone</t>
  </si>
  <si>
    <t>G/SPS/N/CHN/710</t>
  </si>
  <si>
    <t>National Food Safety Standard: Food additive Soluble saccharin</t>
  </si>
  <si>
    <t xml:space="preserve">This standard applies to food additive Soluble saccharin obtained from phthalate anhydride through chemical synthesis. It specifies the technical requirements and test methods for food additive Soluble saccharin. </t>
  </si>
  <si>
    <t>Food additive Soluble saccharin</t>
  </si>
  <si>
    <t>G/SPS/N/CHN/709</t>
  </si>
  <si>
    <t>National Food Safety Standard: Food additive Ammonium phospholipids</t>
  </si>
  <si>
    <t xml:space="preserve">This standard applies to the food additive ammonium phospholipids derived from the synthesis of mono- and diglyceride compounds produced by glycerolysis of the edible fat (usually partially hardened vegetable oil)  followed by phosphorylation with phosphorus pentoxide  and neutralization with ammonia. It specifies the technical requirements and test methods for food additive ammonium phospholipids. </t>
  </si>
  <si>
    <t>Food additive Ammonium phospholipids</t>
  </si>
  <si>
    <t>G/SPS/N/CHN/708</t>
  </si>
  <si>
    <t>National Food Safety Standard: Food nutritional fortifier  5'-Adenylic acid</t>
  </si>
  <si>
    <t>This standard applies to food nutritional fortifier 5'-adenylic acid. It specifies the technical requirements and test methods for 5'-adenylic acid.</t>
  </si>
  <si>
    <t>Food nutritional fortifier 5'-Adenylic acid.</t>
  </si>
  <si>
    <t>G/SPS/N/CHN/707</t>
  </si>
  <si>
    <t>National Food Safety Standard: Food nutritional fortifier Disodium 5'-uridylate</t>
  </si>
  <si>
    <t>This standard applies to food nutritional fortifier disodium 5'-uridylate. It specifies the technical requirements and test methods for disodium 5'-uridylate.</t>
  </si>
  <si>
    <t>Food nutritional fortifier Disodium 5'-uridylate.</t>
  </si>
  <si>
    <t>G/SPS/N/CHN/706</t>
  </si>
  <si>
    <t>National Food Safety Standard: Food additive Lauric Acid</t>
  </si>
  <si>
    <t xml:space="preserve">This standard applies to food additive Lauric Acid obtained from coconut oil and other plant fats with hydrolysis separation. It specifies the technical requirements and test methods for food additive Lauric Acid. </t>
  </si>
  <si>
    <t>Food additive Lauric Acid</t>
  </si>
  <si>
    <t>G/SPS/N/CHN/705</t>
  </si>
  <si>
    <t>National Food Safety Standard: Food additive Acetylated mono- and diglyceride</t>
  </si>
  <si>
    <t xml:space="preserve">This standard applies to the food additive acetylated mono- and diglyceride. They may be manufactured by the interesterification of edible fats with triacetin and glycerine in the presence of catalytic agents  followed by molecular distillation  or by the direct acetylation of edible monoglycerides with acetic anhydride and without the use of a catalyst or molecular distillation. It specifies the technical requirements and test methods for food additive acetylated mono- and diglyceride. </t>
  </si>
  <si>
    <t>Food additive  cetylated mono- and diglyceride (acetic and fatty acid esters of glycerol)</t>
  </si>
  <si>
    <t>G/SPS/N/CHN/704</t>
  </si>
  <si>
    <t>National Food Safety Standard: Food additive Dilauryl thiodipropionate</t>
  </si>
  <si>
    <t xml:space="preserve">This standard applies to food additive Dilauryl thiodipropionate which is obtained through esterification using thiodipropionic acid and lauryl alcohol as raw materials. It specifies the technical requirements and test methods for food additive Dilauryl thiodipropionate. </t>
  </si>
  <si>
    <t>Food additive Dilauryl thiodipropionate</t>
  </si>
  <si>
    <t>G/SPS/N/CHN/703</t>
  </si>
  <si>
    <t xml:space="preserve">National Food Safety Standard: Food additive Lycopene (Synthetic)  </t>
  </si>
  <si>
    <t xml:space="preserve">This standard applies to food additive Lycopene (Synthetic) produced by the Wittig condensation of synthetic intermediates commonly used in the production of other carotenoids used in food. It specifies the technical requirements and test methods for food additive Lycopene (Synthetic). </t>
  </si>
  <si>
    <t>Food additive Lycopene (Synthetic)</t>
  </si>
  <si>
    <t>G/SPS/N/USA/2726</t>
  </si>
  <si>
    <t xml:space="preserve">Beauveria bassiana Strain ANT-03  Exemption From the Requirement of a Tolerance </t>
  </si>
  <si>
    <t xml:space="preserve">This regulation establishes an exemption from the requirement of a tolerance for residues of the microbial insecticide Beauveria bassiana strain ANT-03 in or on all food commodities when used in accordance with label directions and good agricultural practices.  </t>
  </si>
  <si>
    <t>G/SPS/N/OMN/54</t>
  </si>
  <si>
    <t>Microbiological criteria for foodstuffs</t>
  </si>
  <si>
    <t>This Omani/Gulf draft technical regulation concerns microbiological limits for some foodstuffs intended for human consumption and for some food ingredients used in food industry  definition and requirements criteria for technical conformity. Items related to requirements (item 4) are compulsory. The remaining items are voluntary.</t>
  </si>
  <si>
    <t>Microbiological criteria for foodstuffs (ICS Code: 67.05 )</t>
  </si>
  <si>
    <t>G/SPS/N/IDN/97</t>
  </si>
  <si>
    <t>Draft Amendment of the Head of Indonesian National Agency for Drug and Food Control Regulation concerning Food Packaging Control</t>
  </si>
  <si>
    <t xml:space="preserve">The regulation amends Annex 2C which contains a list of Type of Food and Conditions of Use for Plastic Food Contact Material. This amendment was made in view of the Migration Limit from Food Contact Material based on Food Type and Condition of use depending on the variety of plastic material  as stipulated by the Head of NADFC Regulation No. HK. 03.1.23.07.11.6664 of 2011  concerning Food Packaging Control that should be adjusted to the development of science and latest technology. </t>
  </si>
  <si>
    <t>Processed food</t>
  </si>
  <si>
    <t>Animal diseases  Animal health  Foot and mouth disease  Pest or Disease free Regions</t>
  </si>
  <si>
    <t>G/SPS/N/KOR/492</t>
  </si>
  <si>
    <t xml:space="preserve">The proposed amendment seeks to: 1. Expand the usage range of treated deep sea water in foods. -  Permit the usage of deep sea water  concentrated deep seawater  mineral-enriched desalted deep sea water and mineral-enriched deep seawater in food production.  2. Establish and revise the maximum residue limits for pesticides and veterinary drugs in foods.  - Establish the maximum residue limits for flupyradifurone  ipconazole and pyraclonil and expand the range of target agricultural products for other pesticides to 39 products.  - Establish the maximum residue limit of 0.1 mg/kg for 6-BA (6-Benzyl aminopurine  Benzyladenine) in soybean sprouts. - Establish the maximum residue limits for various veterinary drugs (Roxithromycin  etc.) 3. Exclude Coriandri Fructus from the list of herbal medicines in common use for food and medicine. Add stem of Aristolochia manshuriensis Komarov  pokeweed (Phytolacca americana L.)  echinacea (Echinacea purpurea) and seed of jengkol (Archidendron jiringa Nielson) to the list of "Raw materials not usable in foods". </t>
  </si>
  <si>
    <t>G/SPS/N/TPKM/345</t>
  </si>
  <si>
    <t>Import inspection requirement for commodities classified under 30 specific CCC codes if they are used for food purposes.</t>
  </si>
  <si>
    <t>Commodities classified under 31 specific CCC codes (including  2106.90.53.00-6 Preparations of mixtures of odoriferous substances  for making foodstuff) shall follow the "Regulations of Inspection of Imported Foods and Related Products" if they are used for food purposes. The importers shall apply for inspection to the Food and Drug Administration  Ministry of Health and Welfare.</t>
  </si>
  <si>
    <t>Those food additives classified under 31 specific CCC codes</t>
  </si>
  <si>
    <t>G/SPS/N/TPKM/332/Add.1</t>
  </si>
  <si>
    <t>G/SPS/N/THA/202/Rev.3/Add.1</t>
  </si>
  <si>
    <t>Food in general  (ICS Code 67.040)</t>
  </si>
  <si>
    <t>G/SPS/N/KOR/491</t>
  </si>
  <si>
    <t xml:space="preserve">The proposed amendment seeks to: 1. Establish a provision to mandate import clearance duty on purchasing service providers that buy foods from foreign shopping.   2. Prepare inspection procedures on the import clearance for items purchased by purchasing service providers. </t>
  </si>
  <si>
    <t>G/SPS/N/KOR/490</t>
  </si>
  <si>
    <t>Proposed amendments Enforcement rule of the Functional Health Foods Act</t>
  </si>
  <si>
    <t xml:space="preserve">The proposed amendments are seek to: - Establish a provision to mandate import clearance duty on purchasing service providers that buy functional health foods  - Prepare inspection procedures on the import clearance for functional health food items purchased by purchasing service providers. </t>
  </si>
  <si>
    <t>Functional Health Foods</t>
  </si>
  <si>
    <t>G/SPS/N/KOR/489</t>
  </si>
  <si>
    <t>Proposed amendments the Enforcement rule of the Functional Health Foods Act</t>
  </si>
  <si>
    <t>The proposed amendments are to seek to specify the documents to be submitted by importers during import clearance of Health Functional Foods.</t>
  </si>
  <si>
    <t>G/SPS/N/IDN/96</t>
  </si>
  <si>
    <t>Regulation of the Head of Indonesian National Agency for Drug and Food Control No. 4 of 2014 concerning the Maximum Limit of Sweetener as Food Additive</t>
  </si>
  <si>
    <t xml:space="preserve">The regulation specified the maximum level requirement of sweetener as food additive in processed food. The name of food additives allowed to be used as sweetener are: 1. Natural sweetener: a. Sorbitol (INS. 420 (i)  420 (ii)) b. Mannitol (INS. 421) c. Isomalt/Isomaltitol (INS. 953) d. Steviol glycoside (INS. 960) e. Maltitol (INS. 965(i)  INS. 965(ii)) f. Lactitol (INS. 966) g. Xylitol (INS. 967) h. Erythritol (INS. 968) 2. Artificial sweetener: a. Acesulfame potassium (INS. 950) b. Aspartame (INS. 951) c. Cyclamate (INS. 952(i)  INS. 952(ii)  (INS. 952(iv)) d. Saccharins (INS. 954(i)  (INS. 954(ii)  (INS. 954(iii)  (INS. 954(iv)) e. Sucralose/Trichlorogalactosucrose (INS. 955) f. Neotame (INS. 961) The maximum level requirement of sweetener in each food category is listed in Annex 1 as integral part of this regulation. The content of sweetener in processed food must be proven by a certificate of analysis. The use of sweetener other than in Annex 1 should only be used after obtaining approval from the Chairman of NADFC. The sweetener and processed food containing sweetener which has a marketing approval must adjust with this regulation no later than two years from the date of enactment. The sweetener and processed food containing sweetener which is submitted before the prevailing of this regulation will be processed based on the Chairman of NADFC Regulation No. HK.00.05.5.1.4547 (2004) on artificial sweetener requirements and Its use in food products. The validity period of this marketing approval will be 2 years. </t>
  </si>
  <si>
    <t>Processed food sweetener</t>
  </si>
  <si>
    <t>G/SPS/N/TPKM/342</t>
  </si>
  <si>
    <t>Act Governing Food Safety and Sanitation</t>
  </si>
  <si>
    <t>A Decree was promulgated to amend the Act Governing Food Safety and Sanitation on 10 December 2014. The key features of the new amendment are: the listed companies  OTC companies and food enterprises under a certain category or with a certain scale shall establish laboratories for self-testing  food enterprises subject to the establishment of a traceability system shall follow the requirements of competent authorities to use electronic invoices on stages for accuracy of tracing  the factories for food or food additives shall be established independently and the production  processing and preparation of non-food commodities is prohibited  imposing comprehensively stricter penalties on non-compliant businesses.</t>
  </si>
  <si>
    <t>Food additives  Food safety  Human health  Traceability</t>
  </si>
  <si>
    <t>G/SPS/N/CAN/871/Add.1</t>
  </si>
  <si>
    <t>Pesticide mandipropamid in or on various food commodities (ICS: 65.020  65.100  67.080  67.220)</t>
  </si>
  <si>
    <t>G/SPS/N/MAC/14/Corr.1</t>
  </si>
  <si>
    <t>G/SPS/N/TPKM/340</t>
  </si>
  <si>
    <t>Regulation Governing the Registration of Food Businesses</t>
  </si>
  <si>
    <t>The product information on food additives  food utensils  food containers or packaging containing plastic food contact material shall be registered on "fadenbook (http://fadenbook.fda.gov.tw)"</t>
  </si>
  <si>
    <t>Food additives  food utensils  food containers or packaging containing plastic food contact material</t>
  </si>
  <si>
    <t>Contaminants  Food additives  Food safety  Human health  Packaging</t>
  </si>
  <si>
    <t>G/SPS/N/CAN/906</t>
  </si>
  <si>
    <t>Proposed Maximum Residue Limit: Clethodim (PMRL2014-91)</t>
  </si>
  <si>
    <t xml:space="preserve">The objective of the notified document PMRL2014-91 is to consult on the listed domestic maximum residue limits (MRLs) for clethodim that have been proposed by the Health Canada's Pest Management Regulatory Agency (PMRA). MRL (ppm1) Raw Agricultural Commodity (RAC) and/or Processed Commodity 0.3 Crop Subgroup 1B (Root Vegetable except sugarbeet) 0.2 Eggs 0.2 Meat and meat byproducts of cattle  poultry  hogs  goats  horses and sheep 0.09 Radish tops 0.09 Garden beet tops 0.05 Milk 1 ppm = parts per million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 </t>
  </si>
  <si>
    <t xml:space="preserve">Pesticide Clethodim in or on various food commodities (ICS: 65.020  65.100  67.080  67.100  67.120).  </t>
  </si>
  <si>
    <t>G/SPS/N/BRA/1010</t>
  </si>
  <si>
    <t>Draft Technical Resolution nº 108  8 December 2014  regarding the authorized food additives to use in formulas to enteral nutrition.</t>
  </si>
  <si>
    <t xml:space="preserve">Draft Technical Resolution nº 108  8 December 2014  regarding the authorized food additives to use in formulas to enteral nutrition. This draft Technical Resolution establishes the approved lists of food additives with its respective functions  which are authorized to use in formulas to enteral nutrition. According to this draft technical resolution  the formulas to enteral nutrition are classified as: ready-to-feed formulas to enteral nutrition  and powder to preparation of formulas to enteral nutrition.  The companies will have a period of 12 (twelve) months from the date of publication of this resolution to make the necessary adjustments to comply therewith. The products manufactured until this deadline can be marketed until its expiration date.  </t>
  </si>
  <si>
    <t>Food additives to enteral nutrition.</t>
  </si>
  <si>
    <t>G/SPS/N/QAT/52</t>
  </si>
  <si>
    <t xml:space="preserve">"Maximum  Residue Limits (MRLs) of  Veterinary Drugs In Food"   </t>
  </si>
  <si>
    <t>This draft technical regulation applies to maximum residue limits for veterinary drugs in food and food products of animal origin. Furthermore  the present GSO technical standard has an appendix referring to the withdrawal periods from the animal's body as well as residue markers and methods of detection.</t>
  </si>
  <si>
    <t>Maximum  Residue Limits (MRLs) of Veterinary Drugs In Food (ICS Code: 67.040.00).</t>
  </si>
  <si>
    <t>G/SPS/N/QAT/51</t>
  </si>
  <si>
    <t xml:space="preserve">Sweeteners Permitted for Use in Food Products </t>
  </si>
  <si>
    <t>This draft technical regulation applies to sugar substitutes permitted for use in energy-reduced food as sweeteners  food without added sugar or diabetics and foods for special dietary uses.</t>
  </si>
  <si>
    <t>Sweeteners Permitted for Use in Food Products ICS Code: 67.180.10.</t>
  </si>
  <si>
    <t>G/SPS/N/QAT/50</t>
  </si>
  <si>
    <t xml:space="preserve">"Additives Permitted for Use In Food Stuffs" </t>
  </si>
  <si>
    <t>This draft technical regulation applies to the food additives permitted for use in food stuffs.</t>
  </si>
  <si>
    <t>Additives Permitted for Use In Food Stuffs (ICS Code: 67.220.20).</t>
  </si>
  <si>
    <t>G/SPS/N/CHN/702</t>
  </si>
  <si>
    <t>The Measures for the administration of catalogue of the substances traditionally considered as both food and Chinese medicine.</t>
  </si>
  <si>
    <t>This document applies to the administration of catalogue of the substances traditionally considered as both food and Chinese medicine.</t>
  </si>
  <si>
    <t>Substances traditionally considered as both food and Chinese medicine</t>
  </si>
  <si>
    <t>Food safety  Human health  Pharmaceutical products</t>
  </si>
  <si>
    <t>G/SPS/N/NZL/508/Add.1</t>
  </si>
  <si>
    <t>G/SPS/N/EU/117</t>
  </si>
  <si>
    <t xml:space="preserve">Annexes to "Draft Commission Regulation amending Annexes II  III and V to Regulation (EC) No. 396/2005 of the European Parliament and of the Council as regards maximum residue levels for azoxystrobin  dimoxystrobin  fluroxypyr  methoxyfenozide  metrafenone  oxadiargyl and tribenuron in or on certain products" (Text with EEA relevance) </t>
  </si>
  <si>
    <t>These notified annexes to the draft Regulation set proposed maximum residue levels (MRLs) for azoxystrobin  dimoxystrobin  fluroxypyr  methoxyfenozide  metrafenone  oxadiargyl and tribenuron in Annexes 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</si>
  <si>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Cereals (HS Codes: 1001  1002  1003  1004  1005  1006  1007  1008)  foodstuffs of animal origin (HS Codes: 0201  0202  0203  0204  0205  0206  0207  0208  0209  0210) and certain products of plant origin  including fruit and vegetables. </t>
  </si>
  <si>
    <t xml:space="preserve"> HS codes: 1005  1003  1006  1004  1002  0206  1008  0210  1001  0203  0207  0202  0208  0204  0205  1007  0209  0201 </t>
  </si>
  <si>
    <t>G/SPS/N/USA/2721</t>
  </si>
  <si>
    <t xml:space="preserve">Receipt of Pesticide Petition Filed for Residues of Bacillus subtilis Strain IAB/BS03  Reopening of Comment Period </t>
  </si>
  <si>
    <t xml:space="preserve">EPA issued a document in the Federal Register of 12 September 2013  announcing the filing of a pesticide tolerance petition for residues of the fungicide  Bacillus subtilis strain IAB/BS03. That pesticide petition requested that EPA establish an exemption from the requirement of a tolerance for residues of that fungicide in or on all food commodities. Through an administrative error  the summary of the pesticide petition was not made available in the docket. Now available in the docket  this document reopens the comment period for that pesticide petition for 30 days to allow for public review and comment.  </t>
  </si>
  <si>
    <t>G/SPS/N/TPKM/321/Add.1</t>
  </si>
  <si>
    <t xml:space="preserve">HS Codes: 02  0504  1601  1602 Remarks: Only meat and poultry product excludes amphibians  reptiles  primates and aquatic mammals' product. </t>
  </si>
  <si>
    <t xml:space="preserve"> HS codes: 1601  1602  0504  16  02 </t>
  </si>
  <si>
    <t>G/SPS/N/SAU/137</t>
  </si>
  <si>
    <t xml:space="preserve">The Kingdom of Saudi Arabia/The Cooperation Council for the Arab States of the Gulf Draft Technical Regulation for: "Microbiological criteria for foodstuffs". </t>
  </si>
  <si>
    <t xml:space="preserve">This draft technical regulation applies to microbiological limits for some foodstuffs intended for human consumption  and for some food ingredients used in the food industry. </t>
  </si>
  <si>
    <t>G/SPS/N/SAU/136</t>
  </si>
  <si>
    <t>The Kingdom of Saudi Arabia/The Cooperation Council for the Arab States of the Gulf Draft Technical Regulation for: "Maximum  Residues Limits (MRLs) of  Veterinary Drugs In Food".</t>
  </si>
  <si>
    <t>This draft technical regulation applies to maximum residues limits for the veterinary drugs in food and food products of animal origin. Furthermore  this technical regulation has an appendix referring to the withdrawal periods from the animal's body as well as residue markers and methods of detection.</t>
  </si>
  <si>
    <t>Maximum  Residues Limits (MRLs) of Veterinary Drugs In Food (ICS: 67.040.00)</t>
  </si>
  <si>
    <t>G/SPS/N/AUS/352</t>
  </si>
  <si>
    <t xml:space="preserve">Proposal to Amend Standard 1.4.2 of the Australia New Zealand Food Standards Code (4 November 2014 - Proposed amendment (Agricultural and Veterinary Chemicals Code Instrument No. 4 (MRL Standard) Amendment Instrument 2014 (No. 11))) </t>
  </si>
  <si>
    <t>G/SPS/N/MAC/15</t>
  </si>
  <si>
    <t>"Limites máximos de resíduos de medicamentos veterinários nos alimentos" (Maximum residue limits of veterinary drugs in foodstuffs)</t>
  </si>
  <si>
    <t>Administrative Regulation No. 13/2013 "Limites máximos de resíduos de medicamentos veterinários nos alimentos" (Maximum residue limits of veterinary drugs in foodstuffs) is a food safety standard that establishes maximum residue limits of veterinary drugs in foodstuffs derived from animal origin. In the definition of this regulation  "residues of veterinary drugs" refers to any medications and substances involved  including the original active ingredients and their metabolites which remain in the edible parts of animals for consumption when the medications in question have been administered. This Administrative Regulation stipulates that a maximum concentration  legally provided  of veterinary drug residues in or on a food surface must be in accordance with the terms of the list provided. The Regulation applies to the control of the maximum residue limits for veterinary drugs in parts intended for human consumption of specified animal species  either at the stage of import  processing or sale.</t>
  </si>
  <si>
    <t>G/SPS/N/MAC/14</t>
  </si>
  <si>
    <t>"Limites máximos de resíduos de medicamentos veterinários nos alimentos" (Maximum Residue Limits for Veterinary Drugs in Food)</t>
  </si>
  <si>
    <t>Administrative regulation No. 16/2014 "Limites máximos de radionuclídeos nos géneros alimentícios" (Maximum limits of radionuclides in foodstuffs) is a food safety standard that establishes maximum permitted levels of radionuclides contaminated in food after a nuclear or radiological emergency. This standard aims to control important radioactive contaminants in food  in order to protect public health in Macao. In the definition of this regulation  "radionuclides" refers to unstable chemical elements contaminated in food  whose atoms disintegrate spontaneously and emit ionizing radiation. This administrative regulation stipulates that legally permitted levels of radioactivity concentration of radionuclides in or on the surface of foodstuffs must be in accordance with the terms of the list provided. Considering special protection for sensitivity of infants  permitted maximum limits are defined for two separate categories "infant food" and "other foods". The regulation applies to the control of the levels of radionuclides in food intended for human consumption at all stages of food business including production  importing  processing  transportation and sale.</t>
  </si>
  <si>
    <t>G/SPS/N/MAC/13</t>
  </si>
  <si>
    <t>Lista de substâncias proibidas de usar nos géneros alimentícios (List of prohibited substances for use in food)</t>
  </si>
  <si>
    <t xml:space="preserve">According to Article 7 of Law No. 5/2013 "Lei de segurança alimentar" (Food Safety Law)  food safety standards are defined by complementary administrative regulations. As a food safety standard of Macao S.A.R.  Administrative Regulation No. 6/2014 "Lista de substancias proibidas de usar nos generos alimenticios" (List of prohibited substances for use in food) was published. In this regulation  "Prohibited substances" refers to inedible substances possibly used intentionally and illegally during animal husbandry or food production. This regulation stipulates that certain substances are prohibited to be used in the production and circulation of foodstuffs. The regulation is applicable to the entire food supply chain including food production  processing  preparation  packaging  transportation  import  export  transit  storage  sale  delivery  holding or displaying for sale  etc. </t>
  </si>
  <si>
    <t>G/SPS/N/SAU/133</t>
  </si>
  <si>
    <t>The Kingdom of Saudi Arabia/The Cooperation Council for the Arab States of the Gulf Draft Technical Regulation for: "Corn flakes".</t>
  </si>
  <si>
    <t>This draft technical regulation applies to the requirements of corn flakes suitable for human consumption.</t>
  </si>
  <si>
    <t>Foodstuffs: corn flakes (ICS Code: 67.060).</t>
  </si>
  <si>
    <t xml:space="preserve"> HS codes: 190410 </t>
  </si>
  <si>
    <t>G/SPS/N/SAU/123</t>
  </si>
  <si>
    <t xml:space="preserve">The Kingdom of Saudi Arabia/The Cooperation Council for the Arab States of the Gulf Draft Technical Regulation for: "Hygienic conditions for School Canteens and handled food".   </t>
  </si>
  <si>
    <t>This draft technical regulation applies to the requirements of hygienic conditions for school canteens and handled foods.</t>
  </si>
  <si>
    <t>Hygienic conditions for school canteens and handled  foods (ICS Code: 67.040).</t>
  </si>
  <si>
    <t>G/SPS/N/SAU/122</t>
  </si>
  <si>
    <t>The Kingdom of Saudi Arabia/The Cooperation Council for the Arab States of the Gulf Draft Technical Regulation for: "Requirements for handling of ready-to-eat-foods".</t>
  </si>
  <si>
    <t>This draft technical regulation applies to the requirements for handling of ready-to-eat foods.</t>
  </si>
  <si>
    <t>Requirements for handling of ready-to-eat-foods (ICS Code: 67.230).</t>
  </si>
  <si>
    <t>G/SPS/N/BRA/1008</t>
  </si>
  <si>
    <t>Draft resolution regarding the active ingredient P23 PROPAMOCARBE of the monograph list of active ingredients for pesticides  household cleaning products and wood preservers  published by Resolution - RE No. 165 of 29 August 2003  Brazilian Official Gazette (DOU Diário Oficial da União) of 2 September 2003.</t>
  </si>
  <si>
    <t xml:space="preserve">Foliar application in cultures of pumpkin (2.0mg/kg safety security period of 1 day)  zucchini (2.0mg/kg safety security period of 1 day)  lettuce (40.0mg/kg safety security period of 3 days)  endive (40.0mg/kg safety security period of 3 days)  anthurium (non-food use)  elegant aralia (non-food use)  Japanese aralia (non-food use)  ardisia (non-food use)  asparagus densiflorus (non-food use)  potato (0.5mg/kg safety security period of 3 days)  begonia (non-food use)  eggplant (2.0mg/kg safety security period of 1 day)  broccoli (3.0mg/kg safety security period of 1 day)  bromelia (non-food use)  wax flower (non-food use)  onion (0.5mg/kg safety security period of 14 days)  schefflera (non-food use)  chicory (40.0mg/kg safety security period of 3 days)  chayote (2.0mg/kg safety security period of 1 day)  cineraria (non-food use)  grape ivy (non-food use)  dumb cane (non-food use)  kale (3.0mg/kg safety security period of 1 day)  Chinese cabbage (3.0mg/kg safety security period of 1 day)  cauliflower (3.0mg/kg safety security period of 1 day)  chrysanthemum (non-food use)  croton (non-food use)  tobacco (non-food use)  gerbera (non-food use)  scarlet eggplant (2.0mg/kg safety security period of 1 day)  lily (non-food use)  papaya (2.0mg/kg safety security period of 7 days)  watermelon (1.0mg/kg safety security period of 7 days)  melon (1.0mg/kg safety security period of 7 days)  cucumber (2.0mg/kg safety security period of 1 day)  pepper (2.0mg/kg safety security period of 1 day)  green pepper (2.0mg/kg safety security period of 1 day)  poinsettia (non-food use)  okra (2.0mg/kg safety security period of 1 day)  cabbage (3.0mg/kg safety security period of 1 day)  rose (non-food use)  fern (non-food use)  tomato (3.0mg/kg safety security period of 3 days)  violet (non-food use).       </t>
  </si>
  <si>
    <t>G/SPS/N/BRA/1005</t>
  </si>
  <si>
    <t>Draft resolution regarding the active ingredient F65 FLUOPICOLIDE of the monograph list of active ingredients for pesticides  household cleaning products and wood preservers  published by Resolution - RE No. 165 of 29 August 2003  Brazilian Official Gazette (DOU Diário Oficial da União) of 2 September 2003.</t>
  </si>
  <si>
    <t>Foliar application in cultures of pumpkin (0.2mg/kg safety security period of 1 day)  zucchini (0.2mg/kg safety security period of 1 day)  lettuce (3.0mg/kg safety security period of 3 days)  endive (3.0mg/kg safety security period of 3 days)  potato (0.07mg/kg safety security period of 14 days)  eggplant (0.2mg/kg safety security period of 1 day)  broccoli (0.7mg/kg safety security period of 1 day)  onion (0.05mg/kg safety security period of 14 days)  chicory (3.0mg/kg safety security period of 3 days)  chayote (0.2mg/kg safety security period of 1 day)  kale (0.7mg/kg safety security period of 1 day)  Chinese cabbage (0.7mg/kg safety security period of 1 day)  cauliflower (0.7mg/kg safety security period of 1 day)  tobacco (non-food use)  scarlet eggplant (0.2mg/kg safety security period of 1 day)  papaya (0.5mg/kg safety security period of 7 days)  watermelon (0.2mg/kg safety security period of 7 days)  melon (0.2mg/kg safety security period of 7 days)  cucumber (0.2mg/kg safety security period of 1 day)  pepper (0.2mg/kg safety security period of 1 day)  green pepper (0.2mg/kg safety security period of 1 day)  okra (0.2mg/kg safety security period of 1 day)  cabbage (0.7mg/kg safety security period of 1 day)  rose (non-food use)  tomato (0.1mg/kg safety security period of 7 days)  grape (0.5mg/kg safety security period of 7 days).</t>
  </si>
  <si>
    <t xml:space="preserve">Foliar application in cultures of pumpkin (0.2mg/kg safety security period of 1 day)  zucchini (0.2mg/kg safety security period of 1 day)  lettuce (3.0mg/kg safety security period of 3 days)  endive (3.0mg/kg safety security period of 3 days)  potato (0.07mg/kg safety security period of 14 days)  eggplant (0.2mg/kg safety security period of 1 day)  broccoli (0.7mg/kg safety security period of 1 day)  onion (0.05mg/kg safety security period of 14 days)  chicory (3.0mg/kg safety security period of 3 days)  chayote (0.2mg/kg safety security period of 1 day)  kale (0.7mg/kg safety security period of 1 day)  Chinese cabbage (0.7mg/kg safety security period of 1 day)  cauliflower (0.7mg/kg safety security period of 1 day)  tobacco (non-food use)  scarlet eggplant (0.2mg/kg safety security period of 1 day)  papaya (0.5mg/kg safety security period of 7 days)  watermelon (0.2mg/kg safety security period of 7 days)  melon (0.2mg/kg safety security period of 7 days)  cucumber (0.2mg/kg safety security period of 1 day)  pepper (0.2mg/kg safety security period of 1 day)  green pepper (0.2mg/kg safety security period of 1 day)  okra (0.2mg/kg safety security period of 1 day)  cabbage (0.7mg/kg safety security period of 1 day)  rose (non-food use)  tomato (0.1mg/kg safety security period of 7 days)  grape (0.5mg/kg safety security period of 7 days). </t>
  </si>
  <si>
    <t>G/SPS/N/TPKM/338</t>
  </si>
  <si>
    <t>Regulations of Inspection of Imported Foods and Related Products</t>
  </si>
  <si>
    <t>Importation of commodities used for foods  genetically modified food raw materials and for food additives purposes shall be subject to import inspection conducted by the Food and Drug Administration  Ministry of Health and Welfare (FDA). Commodities classified under CCC codes with the import Regulations related to import food inspection  including F01  F02  508  821  823  824  826  827  830 and 831  shall be subject to food import inspection according to the "Regulations of Inspection of Imported Foods and Related Products". Commodities classified under CCC codes other than the above-mentioned CCC codes are also required to be subject to food import inspection if they are imported for use as food  genetically modified food raw materials and for food additives purposes.</t>
  </si>
  <si>
    <t>Food for human consumption.</t>
  </si>
  <si>
    <t>G/SPS/N/CAN/898</t>
  </si>
  <si>
    <t>Proposed Maximum Residue Limit: Metalaxyl-M (PMRL2014-82)</t>
  </si>
  <si>
    <t xml:space="preserve">The objective of the notified document PMRL2014-82 is to consult on the listed  maximum residue limits (MRLs) for metalaxyl-M that have been proposed by the Health Canada's Pest Management Regulatory Agency (PMRA). MRL (ppm) Raw Agricultural Commodity (RAC) and/or Processed Commodity 27 Herbs  dried (Crop Subgroup 19A)  15 Herbs  fresh (Crop Subgroup 19A)  leafy Brassica greens (Crop Subgroup 5B) 10 Strawberries1 4.0 Cranberries 3.0 Bushberry (Crop Subgroup 13-07B)2 2.0 Grapes3 0.4 Canistels  mangoes  papayas  sapodillas  black sapotes  mamey sapotes  star apples 0.2 Atemoyas  custard apples  sugar apples  starfruits 0.1 Pineapples  fuzzy kiwifruit 0.05 Globe artichokes ppm = parts per million 1 This MRL is proposed to replace the currently specified MRL of 0.4 ppm 2  This MRL is proposed to replace the currently specified MRL of 2.0 ppm 3  This MRL is proposed to replace the currently specified MRL of 1.0 ppm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 </t>
  </si>
  <si>
    <t>Pesticide metalaxyl-M in or on various food commodities (ICS: 65.020  65.100  67.040  67.080  67.220).</t>
  </si>
  <si>
    <t>G/SPS/N/USA/691/Add.13</t>
  </si>
  <si>
    <t>G/SPS/N/TPKM/314/Rev.1</t>
  </si>
  <si>
    <t>Draft of Sanitation Standard for Food Cleansers</t>
  </si>
  <si>
    <t>The draft re-amends the standard for the substances which are used to disinfect or clean food and food-contact surfaces in food utensils  food containers and food packaging.</t>
  </si>
  <si>
    <t>G/SPS/N/CAN/863/Add.1</t>
  </si>
  <si>
    <t>Pesticide azoxystrobin in or on various food commodities (ICS Codes: 65.020  65.100  67.040).</t>
  </si>
  <si>
    <t>G/SPS/N/CAN/862/Add.1</t>
  </si>
  <si>
    <t>Pesticide pyraflufen-ethyl in or on various food commodities (ICS Codes: 65.020  65.100  67.040).</t>
  </si>
  <si>
    <t>G/SPS/N/EU/106/Corr.1</t>
  </si>
  <si>
    <t xml:space="preserve"> HS codes: 1002  0205  0207  1007  0203  0210  0204  1005  0202  1008  1006  0206  1001  1003  0208  0201  1004  0209 </t>
  </si>
  <si>
    <t>G/SPS/N/JPN/377</t>
  </si>
  <si>
    <t>Authorization of Canthaxanthin as food additives and establishment of standards and specifications.</t>
  </si>
  <si>
    <t>Food additive (Canthaxanthin)</t>
  </si>
  <si>
    <t>G/SPS/N/EU/116</t>
  </si>
  <si>
    <t xml:space="preserve">Annexes to "Draft Regulation amending Annexes II  III and V to Regulation (EC) No. 396/2005 of the European Parliament and of the Council as regards maximum residue levels for 1-methylcyclopropene  flonicamid  flutriafol  indolylacetic acid  indolylbutyric acid  pethoxamid  pirimicarb  prothioconazole and teflubenzuron in or on certain products." </t>
  </si>
  <si>
    <t xml:space="preserve">These notified annexes to the draft Regulation set proposed maximum residue levels (MRLs) for 1-methylcyclopropene  flonicamid  flutriafol  indolylacetic acid  indolylbutyric acid  pethoxamid  pirimicarb  prothioconazole and teflubenzuron. MRLs for these substances in certain commodities are changed: either increased or lowered. Lower MRLs are set after updating the limit of determinations and/or deleting old uses which are not authorised any more in the European Union or for which a human health concern may not be excluded. </t>
  </si>
  <si>
    <t xml:space="preserve"> HS codes: 0208  0209  0204  0205  0206  1007  0207  0202  1006  1002  0201  1004  1008  1001  0203  1005  0210  1003 </t>
  </si>
  <si>
    <t>G/SPS/N/CHN/701</t>
  </si>
  <si>
    <t>This regulation establishes 223 maximum residue limits (MRLs) for 35 pesticides  including chlorothalonil  ect. in foods.</t>
  </si>
  <si>
    <t>G/SPS/N/CHL/489</t>
  </si>
  <si>
    <t>Norma Técnica que Establece la Actualización de los Límites Máximos de Residuos de Medicamentos Veterinarios en Alimentos Destinados al Consumo Humano: Artículo 280 del Reglamento Sanitario de los Alimentos  Dto. N° 977/96  Del Ministerio de Salud (Technical standard updating the maximum residue limits for veterinary drugs in food for human consumption: Article 280 of the Food Health Regulations  Decree No. 977/96 of the Ministry of Health)</t>
  </si>
  <si>
    <t>The notified text updates the maximum residue limits for veterinary drugs in food which are established in Ministry of Health Resolution No. 1462 of 1999.</t>
  </si>
  <si>
    <t>Veterinary drugs in food of animal origin.</t>
  </si>
  <si>
    <t>Animal feed  Feed additives  Food safety  Human health  Maximum residue limits (MRLs)  Veterinary drugs</t>
  </si>
  <si>
    <t>G/SPS/N/AUS/350</t>
  </si>
  <si>
    <t xml:space="preserve">Proposal to Amend Standard 1.4.2 of the Australia New Zealand Food Standards Code (4 November 2014 - Proposed amendment (Agricultural and Veterinary Chemicals Code Instrument No. 4 (MRL Standard) Amendment Instrument 2014 (No. 10))) </t>
  </si>
  <si>
    <t>G/SPS/N/THA/219/Add.2</t>
  </si>
  <si>
    <t>Pre-packaged foods (ICS Code: 67.040)</t>
  </si>
  <si>
    <t>G/SPS/N/USA/2715</t>
  </si>
  <si>
    <t xml:space="preserve">Prallethrin  Pesticide Tolerances </t>
  </si>
  <si>
    <t>This regulation establishes tolerances for residues of the insecticide prallethrin  including its metabolites and degradates  in or on all food commodities from use of prallethrin in food handling establishments where food and food products are held  processed  prepared and/or served  or as a wide-area mosquito adulticide at 1.0 part per million (ppm).</t>
  </si>
  <si>
    <t>All food commodities.</t>
  </si>
  <si>
    <t>G/SPS/N/RUS/82</t>
  </si>
  <si>
    <t>Draft of the Federal Law on veterinary practices</t>
  </si>
  <si>
    <t>This document introduces the following: I. secure of the basic functions of the federal executive bodies in the sphere of veterinary: - development and implementation of state policy  legal regulation in the sphere of veterinary  - organization and conduction of epizootic monitoring in Russia and veterinary safety monitoring of controlled goods  except in cases established by the draft law  - establishment of procedures for issuing of the veterinary certificates  - establishment and abolition of restrictive measures and (or) quarantine on the territory of the Russian Federation in case of  rise and (or) spread of infectious diseases of animals  except for the cases established by the draft law  establishment of restrictive measures and (or) quarantine on the territory of two or more subjects of the Russian Federation in case of rise and (or) spread of infectious animal diseases  - establishment of a federal state information system in the sphere of veterinary and ensuring its functioning  - confirmation of the National plan of anti-epizootic measures against infectious diseases of animals and provision of medicines  and drugs for veterinary use  - introduction of restrictions on import to the Russian Federation  export from the Russian Federation and transit through the territory of the Russian Federation of the controlled goods  - destribution of permits for import  export and transit of controlled goods in accordance with the legislation of the Customs Union within the Eurasian Economic Community  - conduction of studies of production facilities located in foreign countries and implemention of keeping  breeding  cultivation and sale of controlled products imported to the territory of the Customs Union  as well as transported from the territory of one Member State of the Customs Union to the territory of another member  register-keeping of mentioned goods assessment of foreign authorities conducting veterinary supervision  in order to identify opportunities to ensure the safety of controlled goods in accordance with the legislation of the Customs Union within the Eurasian Economic Community and international legislation  - implementation of state veterinary control (supervision) on the main domestic rail  road  sea (river) and air directions of animals transportation  controlled goods and their transport routes  - conduction of studies of production facilities  located in the territory of the Russian Federation  for compliance with the mandatory requirements of states or groups of states  register-keeping of of production facilities corresponding to the specified requirements  - implementation of state veterinary control of imported and exported controlled goods to the customs union territory at checkpoints across the state border of the Russian Federation in accordance with veterinary requirements  - state accreditation of laboratories for laboratory research in the sphere of veterinary and inspection control  of their activities  - conduction of veterinary and veterinary and sanitary examination and secure of veterinary certificates for controlled goods imported and exported to the Customs Union  - registration of drugs for veterinary use as feed additives  as well as GMO organisms used for the production of feed and feed additives  has not been previously registered in another Member State of the Customs Union  - register-keeping of registered products for veterinary use  the State register of feed additives  - inspection control over the activities of veterinary experts  - monitoring of the veterinary-sanitary status of road transport  ships  aircraft  cars  containers  warehouses  quarantine database  loading and unloading areas and other special areas  disinfection and washing facilities  as well as the collection and disposal of separations in the sea (river) air  rail and and road crossings  - decision on awarding the animal health status of the production facilities  - organization and conduction of the federal executive bodies  in the field of defense  internal affairs  of Corrections  Public Safety and Security to subordinate objects  - cooperation with international organizations and foreign governments in the sphere of veterinary. II. Delegation the following powers to the executive authorities in the veterinary sphere of the subjects of the Russian Federation: - implementation of state veterinary control (supervision)  except for the cases specified in paragraphs 11  12  22 of Article 6 of the draft law. III. Secure of the basic functions of the executive authorities of the Russian Federation in the sphere of veterinary: - organization of providing veterinary activities  including veterinary examination  veterinary and sanitary examination  issuing of veterinary certificates for controlled goods  except for cases relating to the powers of the Russian Federation referred to in paragraphs 15 and 22 of Article 6 of the draft law  - organization of measures for prevention  diagnostics and elimination of animal diseases  their treatment  compartmentalization  protection of the population against diseases common to humans and animals  with the exception for cases relating to the powers of the Russian Federation referred to in paragraph 22 of Article 6 of the draft law  - withdrawal of controlled goods  infectious animal diseases extinguishing hotbeds on the territory of the subject of the Russian Federation  with compensation of their costs  with the exception for cases relating to the powers of the Russian Federation referred to in paragraph 22 of Article 6 of the draft law. Provisions of the draft affect the interests of legal entities and individual entrepreneurs and citizens involved in animal handling and animal products. The draftl will help to improve the legal regulation of relations in the sphere of social relations  as well as the elimination of excessive administrative barriers for businesses  operating in the field of veterinary. The draft will also increase the level of responsibility and professional training of veterinary experts that will create the conditions for more effective enforcement of epizootic and veterinary-sanitary conditions in the Russian Federation.</t>
  </si>
  <si>
    <t>HS Code(s):  01  02  03  04  05  15  16  23  41  42  43  51.</t>
  </si>
  <si>
    <t xml:space="preserve"> HS codes: 43  03  15  05  51  01  23  42  02  16  41  04 </t>
  </si>
  <si>
    <t>Animal diseases  Animal health  Certification  control and inspection  Food safety  Human health  Zoonoses</t>
  </si>
  <si>
    <t>G/SPS/N/BRA/1002</t>
  </si>
  <si>
    <t>Draft resolution regarding the active ingredient A26 AZOXYSTROBIN of the monograph list of active ingredients for pesticides  household cleaning products and wood preservers  published by Resolution - RE n° 165 of 29 August 2003  Brazilian Official Gazette (DOU Diário Oficial da União) of September 2nd 2003.</t>
  </si>
  <si>
    <t>Foliar application in cultures of avocado (0.3mg/kg safety security period of 7 days)  pumpkin (0.5mg/kg safety security period of 2 days)  zucchini (0.5mg/kg safety security period of 2 days)  lettuce (1.0mg/kg safety security period of 7 days)  on cotton leaves (0.1mg/kg safety security period of 30 days)  garlic (0.2mg/kg safety security period of 2 days)  peanut (0.2mg/kg safety security period of 7 days)  rice (0.7mg/kg safety security period of 30 days)  oat (0.8mg/kg safety security period of 20 days)  banana (0.2mg/kg safety security period of 7 days)  potato (0.1mg/kg safety security period of 7 days)  eggplant (0.05mg/kg safety security period of 3 days)  beet (0.2mg/kg safety security period of 2 days)  sugarcane (0.03mg/kg safety security period of 30 days)  coffee (0.05mg/kg safety security period of 21 days)  cashew (0.2mg/kg safety security period of 2 days)  khaki (0.2mg/kg safety security period of 2 days)  onion (0.2mg/kg safety security period of 2 days)  carrot (0.2mg/kg safety security period of 7 days)  barley (0.6mg/kg safety security period of 20 days)  citrus (0.5mg/kg safety security period of 7 days)  cauliflower (0.5mg/kg safety security period of 2 days)  chrysanthemum (non-food use)  pea (0.1mg/kg safety security period of 7 days)  eucalyptus (non-food use)  bean (0.1mg/kg safety security period of 7 days)  fig (0.2mg/kg safety security period of 2 days)  sunflower (0.1mg/kg safety security period of 21 days)  guava (0.2mg/kg safety security period of 2 days)  papaya (0.3mg/kg safety security period of 3 days)  mango (0.3mg/kg safety security period of 7 days)  passion fruit (0.3mg/kg safety security period of 7 days)  watermelon (0.05mg/kg safety security period of 2 days)  melon (0.05mg/kg safety security period of 2 days)  corn (0.01mg/kg safety security period of 42 days)  strawberry (0.3mg/kg safety security period of 1 day)  cucumber (0.5mg/kg safety security period of 2 days)  peach (0.5mg/kg safety security period of 7 days)  green pepper (0.5mg/kg safety security period of 2 days)  soy (0.5mg/kg safety security period of 21 days)  tomato (0.5mg/kg safety security period of 3 days)  wheat (0.05mg/kg safety security period of 30 days)  grape (0.5mg/kg safety security period of 7 days). Seeds application on cotton seeds (0.1mg/kg safety security period not determined due to the mode of use). Plantation furrow application in cultures of sugarcane (0.03mg/kg safety security period not determined due to the mode of use). Industrial treatment of vegetative propagules (seedlings) before plantation in cultures of sugarcane (0.03mg/kg safety security period not determined due to the mode of use).</t>
  </si>
  <si>
    <t>G/SPS/N/BRA/1001</t>
  </si>
  <si>
    <t>Draft resolution regarding the active ingredient P33 PROCYMIDONE of the monograph list of active ingredients for pesticides  household cleaning products and wood preservers  published by Resolution - RE n° 165 of 29 August 2003  Brazilian Official Gazette (DOU Diário Oficial da União) of September 2nd 2003.</t>
  </si>
  <si>
    <t>Foliar application in cultures of lettuce (5.0mg/kg safety security period of 3 days)  on cotton leaves (2.0mg/kg safety security period of 30 days)  potato (0.5mg/kg safety security period of 7 days)  onion (0.2mg/kg safety security period of 3 days)  carrot (1.0mg/kg safety security period of 7 days)  bean (0.5mg/kg safety security period of 14 days)  gladiolus (non-food use)  apple (2.0mg/kg safety security period of 7 days)  watermelon (0.05mg/kg safety security period of 7 days)  melon (0.5mg/kg safety security period of 14 days)  strawberry (3.0mg/kg safety security period of 1 day)  peach (3.0mg/kg safety security period of 7 days)  rose (non-food use)  soy (0.1mg/kg safety security period of 30 days)  tomato (2.0mg/kg safety security period of 3 days)  grape (5.0mg/kg safety security period of 7 days). Seeds application on cotton seeds (2.0mg/kg safety security period not determined due to the mode of use). Bulbil application in cultures of garlic (0.1mg/kg safety security period not determined due to the mode of use). Soil application in cultures of potato (0.5mg/kg safety security period of 100 days).</t>
  </si>
  <si>
    <t xml:space="preserve">Foliar application in cultures of lettuce (5.0mg/kg safety security period of 3 days)  on cotton leaves (2.0mg/kg safety security period of 30 days)  potato (0.5mg/kg safety security period of 7 days)  onion (0.2mg/kg safety security period of 3 days)  carrot (1.0mg/kg safety security period of 7 days)  bean (0.5mg/kg safety security period of 14 days)  gladiolus (non-food use)  apple (2.0mg/kg safety security period of 7 days)  watermelon (0.05mg/kg safety security period of 7 days)  melon (0.5mg/kg safety security period of 14 days)  strawberry (3.0mg/kg safety security period of 1 day)  peach (3.0mg/kg safety security period of 7 days)  rose (non-food use)  soy (0.1mg/kg safety security period of 30 days)  tomato (2.0mg/kg safety security period of 3 days)  grape (5.0mg/kg safety security period of 7 days). Seeds application on cotton seeds (2.0mg/kg safety security period not determined due to the mode of use). Bulbil application in cultures of garlic (0.1mg/kg safety security period not determined due to the mode of use). Soil application in cultures of potato (0.5mg/kg safety security period of 100 days). </t>
  </si>
  <si>
    <t>G/SPS/N/CAN/856/Add.1</t>
  </si>
  <si>
    <t>Pesticide boscalid in or on various food commodities and general (ICS Codes: 65.020  65.100  67.040)</t>
  </si>
  <si>
    <t>G/SPS/N/BRA/999</t>
  </si>
  <si>
    <t>Draft resolution regarding the active ingredient D36 - DIFENOCONAZOLE of the monograph list of active ingredients for pesticides  household cleaning products and wood preservers  published by Resolution - RE n° 165 of 29 August 2003  Brazilian Official Gazette (DOU Diário Oficial da União) of 2 September 2003.</t>
  </si>
  <si>
    <t xml:space="preserve">Foliar application in cultures of pineapple (0.2mg/kg safety security period of 7 days)  pumpkin (0.02mg/kg safety security period of 1 day)  zucchini (0.02mg/kg safety security period of 1 day)  poplar (non-food use)  lettuce (0.5mg/kg safety security period of 14 days)  foliar application on cotton leaves (0.3mg/kg safety security period of 21 days)  garlic (0.02mg/kg safety security period of  14 days)  peanut (0.1mg/kg safety security period of 22 days)  rice (1.0mg/kg safety security period of 45 days)  oat (0.3mg/kg safety security period of 20 days)  banana (0.5mg/kg safety security period of 7 days)  potato (0.1mg/kg safety security period of 7 days)  eggplant (0.05mg/kg safety security period of 3 days)  beet (0.1mg/kg safety security period of 3 days)  coffee (0.5mg/kg safety security period of 30 days)  cashew (0.2mg/kg safety security period of 2 days)  khaki (0.2mg/kg safety security period of 2 days)  onion (0.1mg/kg safety security period of 7 days)  carrot (0.2mg/kg safety security period of 15 days)  barley (0.3mg/kg safety security period of 20 days)  citrus (0.5mg/kg safety security period of 7 days)  coconut (0.1mg/kg safety security period of 14 days)  cauliflower (1.0mg/kg safety security period of 14 days)  pea (0.5mg/kg safety security period of 14 days)  eucalyptus (non-food use)  bean (0.5mg/kg safety security period of 25 days)  fig (0.2mg/kg safety security period of 2 days)  sunflower (0.04mg/kg safety security period of 14 days)  guava (0.2mg/kg safety security period of 2 days)  apple (0.5mg/kg safety security period of 5 days)  papaya (0.3mg/kg safety security period of 3 days)  mango (0.2mg/kg safety security period of 7 days)  passion fruit (0.2mg/kg safety security period of 7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green pepper (0.5mg/kg safety security period of 3 days)  rose (non-food use)  soy (0.05mg/kg safety security period of 30 days)  tomato (0.1mg/kg safety security period of 3 days)  wheat (0.05mg/kg safety security period of 30 days)  grape (0.2mg/kg safety security period of 21 days). Foliar (seedlings) application in cultures of coffee (maximum residue limit and safety security period not determined due to the mode of use). Seeds application on cotton seeds (0.3mg/kg safety security period not determined due to the mode of use)  peanut (0.1mg/kg safety security period not determined due to the mode of use)  barley (0.3mg/kg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     </t>
  </si>
  <si>
    <t xml:space="preserve">Foliar application in cultures of pineapple (0.2mg/kg safety security period of 7 days)  pumpkin (0.02mg/kg safety security period of 1 day)  zucchini (0.02mg/kg safety security period of 1 day)  poplar (non-food use)  lettuce (0.5mg/kg safety security period of 14 days)  foliar application on cotton leaves (0.3mg/kg safety security period of 21 days)  garlic (0.02mg/kg safety security period of  14 days)  peanut (0.1mg/kg safety security period of 22 days)  rice (1.0mg/kg safety security period of 45 days)  oat (0.3mg/kg safety security period of 20 days)  banana (0.5mg/kg safety security period of 7 days)  potato (0.1mg/kg safety security period of 7 days)  eggplant (0.05mg/kg safety security period of 3 days)  beet (0.1mg/kg safety security period of 3 days)  coffee (0.5mg/kg safety security period of 30 days)  cashew (0.2mg/kg safety security period of 2 days)  khaki (0.2mg/kg safety security period of 2 days)  onion (0.1mg/kg safety security period of 7 days)  carrot (0.2mg/kg safety security period of 15 days)  barley (0.3mg/kg safety security period of 20 days)  citrus (0.5mg/kg safety security period of 7 days)  coconut (0.1mg/kg safety security period of 14 days)  cauliflower (1.0mg/kg safety security period of 14 days)  pea (0.5mg/kg safety security period of 14 days)  eucalyptus (non-food use)  bean (0.5mg/kg safety security period of 25 days)  fig (0.2mg/kg safety security period of 2 days)  sunflower (0.04mg/kg safety security period of 14 days)  guava (0.2mg/kg safety security period of 2 days)  apple (0.5mg/kg safety security period of 5 days)  papaya (0.3mg/kg safety security period of 3 days)  mango (0.2mg/kg safety security period of 7 days)  passion fruit (0.2mg/kg safety security period of 7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green pepper (0.5mg/kg safety security period of 3 days)  rose (non-food use)  soy (0.05mg/kg safety security period of 30 days)  tomato (0.1mg/kg safety security period of 3 days)  wheat (0.05mg/kg safety security period of 30 days)  grape (0.2mg/kg safety security period of 21 days). Foliar (seedlings) application in cultures of coffee (maximum residue limit and safety security period not determined due to the mode of use). Seeds application on cotton seeds (0.3mg/kg safety security period not determined due to the mode of use)  peanut (0.1mg/kg safety security period not determined due to the mode of use)  barley (0.3mg/kg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   </t>
  </si>
  <si>
    <t>G/SPS/N/BRA/997</t>
  </si>
  <si>
    <t>Draft resolution regarding the active ingredient P46 - PYRACLOSTROBIN of the monograph list of active ingredients for pesticides  household cleaning products and wood preservers  published by Resolution - RE n° 165 of 29 August 2003  Brazilian Official Gazette (DOU Diário Oficial da União) of 2 September 2003.</t>
  </si>
  <si>
    <t xml:space="preserve">Foliar application in cultures of pineapple (0.2mg/kg safety security period of 3 days)  lettuce (1.0mg/kg safety security period of 3 days)  cotton (0.2mg/kg safety security period of 7 days)  garlic (0.1mg/kg safety security period of 7 days)  peanut (0.1mg/kg safety security period of 14 days)  oat (1.0mg/kg safety security period of 30 days)  banana (0.5mg/kg safety security period of 3 days)  potato (0.01mg/kg safety security period of 3 days)  beet (0.1mg/kg safety security period of 3 days)  cocoa (0.02mg/kg safety security period of 14 days)  coffee (0.5mg/kg safety security period of 45 days)  sugarcane (0.1mg/kg safety security period of 30 days)  onion (0.5mg/kg safety security period of 7 days)  carrot (0.2mg/kg safety security period of 7 days)  barley (1.5mg/kg safety security period of 30 days)  citrus (0.5mg/kg safety security period of 14 days)  chrysanthemum (non-food use)  eucalyptus (non-food use)  bean (0.1mg/kg safety security period of 14 days)  sunflower (0.1mg/kg safety security period of 30 days)  cassava (0.02mg/kg safety security period of 30 days)  apple (2.0mg/kg safety security period of 14 days)  papaya (0.1mg/kg safety security period of 7 days)  mango (0.1mg/kg safety security period of 7 days)  passion fruit (0.2mg/kg safety security period of 7 days)  watermelon (0.1mg/kg safety security period of 7 days)  melon (0.1mg/kg safety security period of 7 days)  corn (0.1mg/kg safety security period of 45 days)  cucumber (0.05mg/kg safety security period of 7 days)  peach (1.0mg/kg safety security period of 7 days)  green pepper (1.0mg/kg safety security period of 3 days)  rose (non-food use)  soy (0.1mg/kg safety security period of 14 days)  sorghum (2.0mg/kg safety security period of 30 days)  tomato (0.2mg/kg safety security period of 1 day)  wheat (0.5mg/kg safety security period of 30 days)  grape (2.0mg/kg safety security period of 7 days). Seeds application on cotton seeds (0.2mg/kg safety security period not determined due to the mode of use)  in cultures of peanut (0.1mg/kg safety security period not determined due to the mode of use)  rice (0.02mg/kg safety security period not determined due to the mode of use)  barley (1.5mg/kg safety security period not determined due to the mode of use)  bean (0.1mg/kg safety security period not determined due to the mode of use)  corn (0.1mg/kg safety security period not determined due to the mode of use)  soy (0.1mg/kg safety security period not determined due to the mode of use)  sorghum (0.02mg/kg safety security period not determined due to the mode of use)  wheat (0.5mg/kg safety security period not determined due to the mode of use). Plantation furrow application in cultures of potato (0.01mg/kg safety security period not determined due to the mode of use). Billets (plantation) application in cultures of sugarcane (0.1mg/kg safety security period not determined due to the mode of use).  </t>
  </si>
  <si>
    <t xml:space="preserve">Foliar application in cultures of pineapple (0.2mg/kg safety security period of 3 days)  lettuce (1.0mg/kg safety security period of 3 days)  cotton (0.2mg/kg safety security period of 7 days)  garlic (0.1mg/kg safety security period of 7 days)  peanut (0.1mg/kg safety security period of 14 days)  oat (1.0mg/kg safety security period of 30 days)  banana (0.5mg/kg safety security period of 3 days)  potato (0.01mg/kg safety security period of 3 days)  beet (0.1mg/kg safety security period of 3 days)  cocoa (0.02mg/kg safety security period of 14 days)  coffee (0.5mg/kg safety security period of 45 days)  sugarcane (0.1mg/kg safety security period of 30 days)  onion (0.5mg/kg safety security period of 7 days)  carrot (0.2mg/kg safety security period of 7 days)  barley (1.5mg/kg safety security period of 30 days)  citrus (0.5mg/kg safety security period of 14 days)  chrysanthemum (non-food use)  eucalyptus (non-food use)  bean (0.1mg/kg safety security period of 14 days)  sunflower (0.1mg/kg safety security period of 30 days)  cassava (0.02mg/kg safety security period of 30 days)  apple (2.0mg/kg safety security period of 14 days)  papaya (0.1mg/kg safety security period of 7 days)  mango (0.1mg/kg safety security period of 7 days)  passion fruit (0.2mg/kg safety security period of 7 days)  watermelon (0.1mg/kg safety security period of 7 days)  melon (0.1mg/kg safety security period of 7 days)  corn (0.1mg/kg safety security period of 45 days)  cucumber (0.05mg/kg safety security period of 7 days)  peach (1.0mg/kg safety security period of 7 days)  green pepper (1.0mg/kg safety security period of 3 days)  rose (non-food use)  soy (0.1mg/kg safety security period of 14 days)  sorghum (2.0mg/kg safety security period of 30 days)  tomato (0.2mg/kg safety security period of 1 day)  wheat (0.5mg/kg safety security period of 30 days)  grape (2.0mg/kg safety security period of 7 days). Seeds application on cotton seeds (0.2mg/kg safety security period not determined due to the mode of use)  in cultures of peanut (0.1mg/kg safety security period not determined due to the mode of use)  rice (0.02mg/kg safety security period not determined due to the mode of use)  barley (1.5mg/kg safety security period not determined due to the mode of use)  bean (0.1mg/kg safety security period not determined due to the mode of use)  corn (0.1mg/kg safety security period not determined due to the mode of use)  soy (0.1mg/kg safety security period not determined due to the mode of use)  sorghum (0.02mg/kg safety security period not determined due to the mode of use)  wheat (0.5mg/kg safety security period not determined due to the mode of use). Plantation furrow application in cultures of potato (0.01mg/kg safety security period not determined due to the mode of use). Billets (plantation) application in cultures of sugarcane (0.1mg/kg safety security period not determined due to the mode of use). </t>
  </si>
  <si>
    <t>G/SPS/N/EU/51/Add.1</t>
  </si>
  <si>
    <t>G/SPS/N/EU/69/Add.1</t>
  </si>
  <si>
    <t xml:space="preserve"> HS codes: 0206  1004  1006  1005  1008  0201  1003  0208  0209  0202  1001  0210  0204  0207  0203  1007  1002  0205 </t>
  </si>
  <si>
    <t>G/SPS/N/EU/56/Add.2</t>
  </si>
  <si>
    <t>Food of animal origin</t>
  </si>
  <si>
    <t xml:space="preserve"> HS codes: 02 </t>
  </si>
  <si>
    <t>G/SPS/N/CAN/896</t>
  </si>
  <si>
    <t xml:space="preserve">Proposal to amend the List of Maximum Residue Limits (MRLs) for Veterinary Drugs in Foods (Proposed MRL 2014-2) </t>
  </si>
  <si>
    <t xml:space="preserve">This notification is further to the SPS Notification (G/SPS/N/CAN/597/Add.2)  where the Minister of Health has issued a Ministerial Regulation entitled "Marketing Authorization (MA) for Maximum Residue Limits (MRLs) for Veterinary Drugs in Foods" pursuant to section 30.3(1) and 30.5(1) of the Food and Drugs Act.    The online "List of Maximum Residue Limits (MRLs) for Veterinary Drugs in Foods" http://www.hc-sc.gc.ca/dhp-mps/vet/mrl-lmr/mrl-lmr_versus_new-nouveau-eng.php  (List) is incorporated by reference and is maintained on Health Canada's website. Any proposed changes will continue to be the subject of consultation  public and international notification  and the List will then be updated administratively.   The purpose of this proposal is to notify of a consultation on proposed changes to the List. The proposal includes MRLs for new veterinary drugs (for which MRLs have not previously been established)  and for new foods for existing veterinary drugs (for which MRLs have previously been established). The proposal also includes revisions to existing MRLs. Rigorous safety assessments have been conducted to derive these MRLs. Residue compliance for the proposed MRLs has been monitored and confirmed by the Canadian Food Inspection Agency (CFIA). </t>
  </si>
  <si>
    <t xml:space="preserve">Veterinary drug residues in foods of animal origin (ICS Codes: 11.220  67.040  67.120). </t>
  </si>
  <si>
    <t>G/SPS/N/EU/70/Add.1</t>
  </si>
  <si>
    <t xml:space="preserve"> HS codes: 0204  1006  1001  0205  1007  1005  1002  1004  0210  0203  0201  0207  0206  1003  1008  0208  0209  0202 </t>
  </si>
  <si>
    <t>G/SPS/N/EU/112</t>
  </si>
  <si>
    <t xml:space="preserve">Commission Regulation (EU) No. 1119/2014 of 16 October 2014 amending Annex III to Regulation (EC) No. 396/2005 of the European Parliament and of the Council as regards maximum residue levels for benzalkonium chloride and didecyldimethylammonium chloride in or on certain products (Text with EEA relevance) </t>
  </si>
  <si>
    <t>This Regulation sets proposed maximum residue levels (MRLs) for two substances based on a reasoned opinion of the European Food Safety Authority (EFSA).</t>
  </si>
  <si>
    <t xml:space="preserve"> HS codes: 0210  0203  1001  1008  0206  1002  1004  1006  1007  0205  0204  0201  0209  0207  0202  0208  1003  1005 </t>
  </si>
  <si>
    <t>G/SPS/N/NZL/509</t>
  </si>
  <si>
    <t>Proposals to Amend the New Zealand (Maximum Residue Limits of Agricultural Compounds) Food Standards 2013 - Amendment No. 2</t>
  </si>
  <si>
    <t>The document contains technical details on proposals to amend the New Zealand (Maximum Residue Limits of Agricultural Compounds) Food Standards 2014.  MPI proposes to add the following new MRLs to the MRL Standards:   4 mg/kg in beetroot for clopyralid when used as a herbicide   0.05 mg/kg in grapes and 0.01(*) mg/kg winter squash for cyflufenamid when used as a fungicide   0.01(*) mg/kg in maize for fluthiacet-methyl when used as a herbicide  0.05 mg/kg in bulb onions and 0.05 mg/kg in citrus for spinetoram when used as an insecticide (*) indicates that the maximum residue limit has been set at or about the limit of analytical quantification.</t>
  </si>
  <si>
    <t>Vegetables  fruit  animal and other food products.</t>
  </si>
  <si>
    <t>G/SPS/N/EU/106</t>
  </si>
  <si>
    <t>Annexes to "Draft Commission Regulation amending Annexes II and III to Regulation (EC) No. 396/2005 of the European Parliament and of the Council as regards maximum residue levels for amidosulfuron  fenhexamid  kresoxim-methyl  thiacloprid and trifloxystrobin in or on certain products (Text with EEA relevance)"</t>
  </si>
  <si>
    <t>These notified annexes to the draft Regulation set proposed maximum residue levels for amidosulfuron  fenhexamid  kresoximmethyl  thiacloprid and trifloxystrobin in Annexes II and III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</si>
  <si>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0203  0210  1001  1004  1006  0206  1008  1002  0202  0207  0208  1007  0205  0201  0204  0209  1005  1003 </t>
  </si>
  <si>
    <t>G/SPS/N/AUS/349</t>
  </si>
  <si>
    <t>Proposal to amend Standard 1.4.2 of the Australia New Zealand Food Standards Code (21 October 2014 - Proposed amendment (Agricultural and Veterinary Chemicals Code Instrument No. 4 (MRL Standard) Amendment Instrument 2014 (No. 9)))</t>
  </si>
  <si>
    <t>G/SPS/N/AUS/348</t>
  </si>
  <si>
    <t>Proposal: M1010 - Maximum Residue Limits (2014)</t>
  </si>
  <si>
    <t>This Proposal seeks to amend the Australia New Zealand Food Standards Code to align maximum residue limits (MRLs) for various agricultural and veterinary chemicals so that they are consistent with other national regulations relating to the safe and effective use of agricultural and veterinary chemicals  and to align certain limits with Codex or trading partner standards relating to residues of agricultural and veterinary chemicals in food. The document includes a summary of the scientific risk assessment and risk assessment methodology.</t>
  </si>
  <si>
    <t xml:space="preserve">Processed foods in general. </t>
  </si>
  <si>
    <t>G/SPS/N/EU/104</t>
  </si>
  <si>
    <t xml:space="preserve">Commission Regulation (EU) No. 1092/2014 of 16 October 2014 amending Annex II to Regulation (EC) No. 1333/2008 of the European Parliament and of the Council as regards the use of sweeteners in certain fruit or vegetable spreads (Text with EEA relevance) </t>
  </si>
  <si>
    <t>Authorization of the use of sweeteners Aspartame (E 951)  Neotame (E 961) and Salt of aspartame-acesulfame (E 962) in all products belonging to the sub food category 04.2.5.3 "Other similar fruit or vegetable spreads".</t>
  </si>
  <si>
    <t>G/SPS/N/RUS/14/Add.3</t>
  </si>
  <si>
    <t>HS Codes: 0201  0202  0203  0204  0205 00  0206  0207  0208  0209  0210  0301  0302  0303  0304  0305  0306  0307  0308  0401  0402  0403  0404  0405  0406  0407  0408  0504 00 000 0  1601 00  1602  1604  1605  from 2105 00  from 2106  from 3501  3503 00.</t>
  </si>
  <si>
    <t xml:space="preserve"> HS codes: 0206  0407  0307  0302  0406  0201  1601  0208  0209  0304  0202  2106  3503  0504  1602  0404  0402  0408  1605  0306  0205  0210  0401  0303  0204  1604  0305  3501  0403  0203  0301  0405  0207  2105 </t>
  </si>
  <si>
    <t>Adoption/publication/entry into force of reg.  Food safety  Human health  Labelling</t>
  </si>
  <si>
    <t>G/SPS/N/RUS/43/Add.1</t>
  </si>
  <si>
    <t>Common list of goods subject to veterinary control  adopted by the Customs Union (CU) Commission Decision on application of veterinary and sanitary measures in the CU as of 18 June 2010 No. 317</t>
  </si>
  <si>
    <t xml:space="preserve"> HS codes: 01  23  30  02  04 </t>
  </si>
  <si>
    <t>G/SPS/N/JPN/370</t>
  </si>
  <si>
    <t xml:space="preserve">Amendment to the Enforcement Ordinance of the Food Sanitation Law and the Standards and Specifications for Foods and Food Additives. </t>
  </si>
  <si>
    <t>Authorization of 2  3-Diethylpyrazine as food additives and establishment of standards and specifications.</t>
  </si>
  <si>
    <t>Food additive (2  3-Diethylpyrazine)</t>
  </si>
  <si>
    <t>G/SPS/N/JPN/369</t>
  </si>
  <si>
    <t>Authorization of Asparaginase as food additives and establishment of standards and specifications. The scope of authorization of Asparaginase is limited to asparaginase from A. niger ASP-72  according to the definition stipulated in the Specification.</t>
  </si>
  <si>
    <t>G/SPS/N/TPKM/332</t>
  </si>
  <si>
    <t>Amendments of standards for scope  application and limitation of saccharins and cyclamates.</t>
  </si>
  <si>
    <t>G/SPS/N/CHN/700</t>
  </si>
  <si>
    <t>National Food Safety Standard of the P.R.C.  Food Nutritional Fortifier Sodium Selenite</t>
  </si>
  <si>
    <t>This standard applies to food nutritional fortifier Sodium Selenite which is obtained by using selenite and sodium hydroxide as raw materials. It specifies the technical requirements and testing methods for Sodium Selenite.</t>
  </si>
  <si>
    <t>Food nutritional fortifier Sodium Selenite</t>
  </si>
  <si>
    <t>G/SPS/N/CHN/699</t>
  </si>
  <si>
    <t>National Food Safety Standard of the P.R.C. Food Nutritional Fortifier Calcium Citrate Malate</t>
  </si>
  <si>
    <t xml:space="preserve">This standard applies to food nutritional fortifier Calcium Citrate Malate using citric acid  malic acid and calcium carbonate as raw materials  obtained through chemical synthesis  refining and drying process. It specifies the technical requirements and testing methods for Calcium Citrate Malate.  </t>
  </si>
  <si>
    <t>Food nutritional fortifier Calcium Citrate Malate</t>
  </si>
  <si>
    <t>G/SPS/N/CHN/698</t>
  </si>
  <si>
    <t>National Food Safety Standard of the P.R.C. Food Nutritional Fortifier Ferric Pyrophosphate</t>
  </si>
  <si>
    <t>This product standard applies to food nutritional fortifier ferric pyrophosphate using sodium pyrophosphate and ferrous sulphate as raw materials  obtained through reaction synthesis  precipitation  filtration and drying process. It specifies the technical requirements and testing methods for Ferric Pyrophosphate.</t>
  </si>
  <si>
    <t>Food nutritional fortifier Ferric Pyrophosphate</t>
  </si>
  <si>
    <t>G/SPS/N/CHN/697</t>
  </si>
  <si>
    <t>National Food Safety Standard of the P.R.C. Food Nutritional Fortifier  L-Se-Methylselenocysteine</t>
  </si>
  <si>
    <t>This standard applies to food nutritional fortifier L-Se-Methylselenocysteine using alpha acetyl amino sodium methacrylate and methyl selenium alcohol as raw material  obtained through addition  enzymatic resolution and refining process. It specifies the technical requirements and testing methods for L-Se-Methylselenocysteine.</t>
  </si>
  <si>
    <t>Food nutritional fortifier L-Se-Methylselenocysteine</t>
  </si>
  <si>
    <t>G/SPS/N/CHN/696</t>
  </si>
  <si>
    <t>National Food Safety Standard of the P.R.C. Food Nutritional Fortifier Zinc Lactate</t>
  </si>
  <si>
    <t>This standard applies to food nutritional fortifier Zinc Lactate which using lactic acid and zinc oxide as raw materials  obtained through chemical synthesis and refining process. It specifies the technical requirements and testing methods for Zinc Lactate.</t>
  </si>
  <si>
    <t>Food nutritional fortifier Zinc Lactate</t>
  </si>
  <si>
    <t>G/SPS/N/CHN/695</t>
  </si>
  <si>
    <t>National Food Safety Standard of the P.R.C. Food Nutritional Fortifier Ferrous Gluconate</t>
  </si>
  <si>
    <t>This standard applies to food nutritional fortifier Ferrous Gluconate using gluconic acid (or gluconic acid-ä-lactone) and ferrous carbonate (or ferrous sulphate or reduced iron powder) as raw materials  obtained through chemical synthesis and refining process. It specifies the technical requirements and testing methods for Ferrous Gluconate.</t>
  </si>
  <si>
    <t>Food nutritional fortifier Ferrous Gluconate</t>
  </si>
  <si>
    <t>G/SPS/N/CHN/694</t>
  </si>
  <si>
    <t>National Food Safety Standard of the P.R.C. Food Nutritional Fortifier: Copper Gluconate</t>
  </si>
  <si>
    <t xml:space="preserve">This standard applies to food nutritional fortifier Copper Gluconate which using gluconic acid or glucose as raw materials  obtained through chemical reaction with copper compounds. This product serves as nutritional fortifier in food production and processing. </t>
  </si>
  <si>
    <t>Food nutritional fortifier Copper Gluconate</t>
  </si>
  <si>
    <t>G/SPS/N/CHN/693</t>
  </si>
  <si>
    <t>National Food Safety Standard of the P.R.C.  Food Nutritional Fortifier Manganese Gluconate</t>
  </si>
  <si>
    <t>This standard applies to food nutritional fortifier Manganese Gluconate using gluconic acid or glucose as raw materials  obtained through chemical reaction with manganese compounds. This product serves as nutritional fortifier in the food production and processing.</t>
  </si>
  <si>
    <t>Food nutritional fortifier Manganese Gluconate</t>
  </si>
  <si>
    <t>G/SPS/N/CHN/692</t>
  </si>
  <si>
    <t>National Food Safety Standard of the P.R.C. Food Nutritional Fortifier Vitamin E Calcium Succinate</t>
  </si>
  <si>
    <t>This standard applies to the food nutritional fortifier Vitamin E Calcium Succinate (natural or synthetic)  using the natural vitamin E (d- alpha tocopherol) or Isophytol and three methyl hydroquinone as raw materials for the synthesis of vitamin E (dl- alpha tocopherol)  obtained through esterification with succinic anhydride  then formed salt by the reaction with the calcium salt.</t>
  </si>
  <si>
    <t>Food nutritional fortifier Vitamin E Calcium Succinate</t>
  </si>
  <si>
    <t>G/SPS/N/CHN/691</t>
  </si>
  <si>
    <t>National Food Safety Standard of the P.R.C. Multi-nutrient supplementary food for pregnant and lactating women.</t>
  </si>
  <si>
    <t>This standard applies to the multi-nutrient supplementary food for pregnant and lactating women.</t>
  </si>
  <si>
    <t>Multi-nutrient supplementary food for pregnant and lactating women.</t>
  </si>
  <si>
    <t>G/SPS/N/CHN/690</t>
  </si>
  <si>
    <t>National Food Safety Standard of the P.R.C. General Standard for Sports Nutritional Food</t>
  </si>
  <si>
    <t xml:space="preserve">This standard applies to sports nutritional food. </t>
  </si>
  <si>
    <t>Sports Nutritional Food</t>
  </si>
  <si>
    <t>G/SPS/N/BRA/944/Add.1</t>
  </si>
  <si>
    <t>Foliar application in cultures of cotton (0.05mg/kg safety security period of 21 days)  garlic (0.05mg/kg safety security period of 14 days)  peanut (0.05mg/kg safety security period of 15 days)  rice (0.2mg/kg safety security period of 15 days)  oat (0.05mg/kg safety security period of 30 days)  banana (0.05mg/kg safety security period of 1 day)  potato (0.02mg/kg safety security period of 30 days)  coffee (0.05mg/kg safety security period of 30 days)  sugarcane (0.05mg/kg safety security period of 90 days)  persimmon (0.2mg/kg safety security period of 20 days)  onion (0.02mg/kg safety security period of 14 days)  carrot (0.05mg/kg safety security period of 14 days)  barley (0.5mg/kg safety security period of 30 days)  citrus (0.2mg/kg safety security period of 14 days)  eucalyptus (non-food use)  bean (0.2mg/kg safety security period of 15 days)  guava (0.05mg/kg safety security period of 20 days)  apple (0.05mg/kg safety security period of 7 days)  papaya (0.05mg/kg safety security period of 7 days)  mango (0.05mg/kg safety security period of 20 days)  passion fruit (0.05mg/kg safety security period of 7 days)  watermelon (0.05mg/kg safety security period of 14 days)  melon (0.5mg/kg safety security period of 14 days)  corn (0.05mg/kg safety security period of 30 days)  soy (0.02mg/kg safety security period of 30 days)  tomato (0.5mg/kg safety security period of 7 days)  wheat (0.05mg/kg safety security period of 30 days). Plantation furrow in cultures of sugarcane (0.05mg/kg safety security period of 90 days).</t>
  </si>
  <si>
    <t>G/SPS/N/BRA/948/Add.1</t>
  </si>
  <si>
    <t>Foliar application in cultures of pineapple (0.1mg/kg safety security period of 14 days)  pumpkin (0.1mg/kg safety security period of 5 days)  poplar (non-food use)  cotton (0.1mg/kg safety security period of 30 days)  garlic (0.1mg/kg safety security period of 14 days)  peanut (0.1mg/kg safety security period of 30 days)  rice (0.1mg/kg safety security period of 35 days)  oat (0.1mg/kg safety security period of 35 days)  banana (0.05mg/kg safety security period of 5 days)  potato (0.1mg/kg safety security period of 30 days)  eggplant (0.1mg/kg safety security period of 7 days)  beet (0.2mg/kg safety security period of 7 days)  cocoa (0.1mg/kg safety security period of 14 days)  coffee (0.2mg/kg safety security period of 30 days)  sugarcane (0.2mg/kg safety security period of 90 days)  persimmon (0.2mg/kg safety security period of 20 days)  onion (0.1mg/kg safety security period of 14 days)  carrot (0.6mg/kg safety security period of 14 days)  barley (0.5mg/kg safety security period of 35 days)  citrus (5.0mg/kg safety security period of 20 days)  clove (non-food use)  chrysanthemum (non-food use)  eucalyptus (non-food use)  bean (0.1mg/kg safety security period of 14 days)  fig (0.1mg/kg safety security period of 14 days)  gladiolus (non-food use)  guava (0.1mg/kg safety security period of 20 days)  apple (0.1mg/kg safety security period of 20 days)  papaya (1.0mg/kg safety security period of 7 days)  mango (0.1mg/kg safety security period of 20 days)  passion fruit (0.1mg/kg safety security period of 7 days)  watermelon (0.1mg/kg safety security period of 14 days)  melon (0.1mg/kg safety security period of 14 days)  corn (0.1mg/kg safety security period of 15 days)  strawberry (0.1mg/kg safety security period of 5 days)  cucumber (0.1mg/kg safety security period of 5 days)  peach (0.1mg/kg safety security period of 7 days)  pepper (0.1mg/kg safety security period of 7 days)  rose (non-food use)  soy (0.1mg/kg safety security period of 30 days)  sorghum (0.1mg/kg safety security period of 15 days)  tomato (0.3mg/kg safety security period of 7 days)  wheat (0.1mg/kg safety security period of 35 days)  grape (2.0mg/kg safety security period of 14 days). Furrow plantation application in cultures of sugarcane (0.2mg/kg safety security period of 90 days). Seeds application in cultures of wheat (0.1mg/kg safety security period not determined due to the mode of use).</t>
  </si>
  <si>
    <t>Food safety  Human health  Maximum residue limits (MRLs)  Modification of content/scope of regulation  Pesticides</t>
  </si>
  <si>
    <t>G/SPS/N/BRA/959/Add.1</t>
  </si>
  <si>
    <t>Foliar application in cultures of avocado (0.3mg/kg safety security period of 7 days)  pineapple (0.3mg/kg safety security period of 7 days)  pumpkin (0.3mg/kg safety security period of 7 days)  zucchini (0.3mg/kg safety security period of 7 days)  cotton (0.05mg/kg safety security period of 21 days)  annonaceous (0.3mg/kg safety security period of 7 days)  begonia (non-food use)  eggplant (0.5mg/kg safety security period of 7 days)  cocoa (0.3mg/kg safety security period of 7 days)  citrus (0.3mg/kg safety security period of 7 days)  chayote (0.3mg/kg safety security period of 7 days)  cupuassu (0.3mg/kg safety security period of 7 days)  bean (0.05mg/kg safety security period of 21 days)  gerbera (non-food use)  guarana (0.3mg/kg safety security period of 7 days)  scarlet eggplant (0.5mg/kg safety security period of 7 days)  kiwifruit (0.3mg/kg safety security period of 7 days)  papaya (0.3mg/kg safety security period of 7 days)  mango (0.3mg/kg safety security period of 7 days)  passion fruit (0.3mg/kg safety security period of 7 days)  west Indian gherkin (0.3mg/kg safety security period of 7 days)  watermelon (0.3mg/kg safety security period of 7 days)  melon (0.3mg/kg safety security period of 7 days)  cucumber (0.3mg/kg safety security period of 7 days)  pepper (0.5mg/kg safety security period of 7 days)  green pepper (0.5mg/kg safety security period of 7 days)  okra (0.5mg/kg safety security period of 7 days)  pomegranate (0.3mg/kg safety security period of 7 days)  soy (0.02mg/kg safety security period of 20 days)  tomato (0.5mg/kg safety security period of 7 days).</t>
  </si>
  <si>
    <t>G/SPS/N/BRA/935/Add.1</t>
  </si>
  <si>
    <t>Foliar application in cultures of cress (1.0mg/kg safety security period of 1 day)  lettuce (1.0mg/kg safety security period of 1 day)  cotton (0.05mg/kg safety security period of 10 days)  garlic (0.02mg/kg safety security period of 7 days)  leeks (0.02mg/kg safety security period of 7 days)  peanut (0.02mg/kg safety security period of 21 days)  rice (1.0mg/kg safety security period of 21 days)  oat (0.2mg/kg safety security period of 7 days)  potato (0.05mg/kg safety security period of 3 days)  broccoli (0.1mg/kg safety security period of 1 day)  coffee (0.05mg/kg safety security period of 1 day)  sugarcane (0.01mg/kg safety security period of 30 days)  onion (0.05mg/kg safety security period of 3 days)  chive (1.0mg/kg safety security period of 1 day)  barley (2.0mg/kg safety security period of 3 days)  citrus (1.0mg/kg safety security period of 10 days)  coriander (1.0mg/kg safety security period of 1 day)  kale (0.1mg/kg safety security period of 1 day)  cauliflower (0.1mg/kg safety security period of 1 day)  chrysanthemum (non-food use)  bean (0.05mg/kg safety security period of 15 days)  fig (0.5mg/kg safety security period of 1 day)  tobacco (non-food use)  sunflower (0.01mg/kg safety security period of 21 days)  mango (0.1mg/kg safety security period of 5 days)  melon (0.1mg/kg safety security period of 3 days)  corn (1.0mg/kg safety security period of 15 days)  strawberry (0.5mg/kg safety security period of 1 day)  Indian fig (feed) (2.0mg/kg safety security period of 7 days)  pasture (2.0mg/kg safety security period of 3 days)  cucumber (0.01mg/kg safety security period of 1 day)  rice (1.0mg/kg safety security period of 21 days)  pepper (0.2mg/kg safety security period of 1 day)  cabbage (0.1mg/kg safety security period of 1 day)  rose (non-food use)  soy (0.05mg/kg safety security period of 20 days)  sorghum (0.3mg/kg safety security period of 7 days)  tomato (0.05mg/kg safety security period of 3 days)  wheat (0.5mg/kg safety security period of 15 days)  grape (0.3mg/kg safety security period of 7 days). Seeds application in cultures of rice (1.0mg/kg safety security period not determined due to the mode of use)  barley (2.0mg/kg safety security period not determined due to the mode of use)  corn (1.0mg/kg safety security period not determined due to the mode of use)  pasture (2.0mg/kg safety security period not determined due to the mode of use)  soy (0.05mg/kg safety security period not determined due to the mode of use)  sorghum (0.3mg/kg safety security period not determined due to the mode of use)  wheat (0.5mg/kg safety security period not determined due to the mode of use). Stored products application in cultures of rice (1.0mg/kg safety security period of 42 days)  barley (2.0mg/kg safety security period of 42 days)  corn (1.0mg/kg safety security period of 42 days)  wheat (0.5mg/kg safety security period of 42 days). Plantation furrow in cultures of sugarcane (0.01mg/kg safety security period not determined due to the mode of use).</t>
  </si>
  <si>
    <t>G/SPS/N/BRA/934/Add.1</t>
  </si>
  <si>
    <t>Foliar application in cultures of lettuce (1.0mg/kg safety security period of 1 day)  cotton (0.02mg/kg safety security period of 21 days)  cress (1.0mg/kg safety security period of 1 day)  garlic (0.05mg/kg safety security period of 7 days)  leeks (1.0mg/kg safety security period of 1 day)  peanut (0.02mg/kg safety security period of 42 days)  rice (1.0mg/kg safety security period of 21 days)  oat (0.07mg/kg safety security period of 7 days)  potato (0.02mg/kg safety security period of 10 days)  sugarcane (0.01mg/kg safety security period of 30 days)  onion (0.02mg/kg safety security period of 3 days)  chive (1.0mg/kg safety security period of 1 day)  barley (0.3mg/kg safety security period of 7 days)  citrus (1.0mg/kg safety security period of 10 days)  coriander (1.0mg/kg safety security period of 1 day)  chrysanthemum (non-food use)  pea (0.2mg/kg safety security period of 3 days)  bean (0.02mg/kg safety security period of 14 days)  fig (0.1mg/kg safety security period of 1 day)  tobacco (non-food use)  sunflower (0.05mg/kg safety security period of 7 days)  papaya (0.1mg/kg safety security period of 7 days)  cassava (0.02mg/kg safety security period of 10 days)  mango (0.05mg/kg safety security period of 5 days)  watermelon (0.1mg/kg safety security period of 14 days)  melon (0.02mg/kg safety security period of 7 days)  corn (0.02mg/kg safety security period of 30 days)  strawberry (0.1mg/kg safety security period of 1 day)  Indian fig (feed) (0.05mg/kg safety security period of 7 days)  pasture (0.7mg/kg safety security period of 3 days)  cucumber (0.02mg/kg safety security period of 1 day)  pepper (0.2mg/kg safety security period of 1 day)  cabbage (0.03mg/kg safety security period of 1 day)  rose (non-food use)  pepper (0.2mg/kg safety security period of 1 day)  soy (0.02mg/kg safety security period of 30 days)  sorghum (0.1mg/kg safety security period of 7 days)  tomato (1.0mg/kg safety security period of 3 days)  wheat (0.02mg/kg safety security period of 42 days)  grape (0.5mg/kg safety security period of 7 days). Seeds application in cultures of cotton (0.02mg/kg safety security period not determined due to the mode of use)  peanut (0.02mg/kg safety security period not determined due to the mode of use)  rice (1.0mg/kg safety security period not determined due to the mode of use)  potato (0.02mg/kg safety security period not determined due to the mode of use)  barley (0.3mg/kg safety security period not determined due to the mode of use)  bean (0.02mg/kg safety security period not determined due to the mode of use)  sunflower (0.05mg/kg safety security period not determined due to the mode of use)  corn (0.02mg/kg safety security period not determined due to the mode of use)  pasture (0.7mg/kg safety security period not determined due to the mode of use)  soy (0.02mg/kg safety security period not determined due to the mode of use)  sorghum (0.1mg/kg safety security period not determined due to the mode of use)  wheat (0.02mg/kg safety security period not determined due to the mode of use). Soil application in cultures of pineapple (0.02mg/kg safety security period of 60 days)  courgette (0.02mg/kg safety security period of 45 days)  lettuce (1.0mg/kg safety security period not determined due to the mode of use)  rice (1.0mg/kg safety security period of 78 days)  potato (0.02mg/kg safety security period of 89 days)  eggplant (0.02mg/kg safety security period of 40 days)  coffee (0.1mg/kg safety security period of 90 days)  sugarcane (0.01mg/kg safety security period not determined due to the mode of use)  citrus (1.0mg/kg safety security period of 14 days)  string bean (0.02mg/kg safety security period of 60 days)  tobacco (non-food use)  apple (0.02mg/kg safety security period of 60 days)  papaya (0.1mg/kg safety security period of 7 days)  watermelon (0.1mg/kg safety security period of 14 days)  melon (0.02mg/kg safety security period of 43 days)  strawberry (0.1mg/kg safety security period of 1 day)  cucumber (0.02mg/kg safety security period of 45 days)  peach (0.02mg/kg safety security period of 45 days)  pepper (0.2mg/kg safety security period of 46 days)  cabbage (0.03mg/kg safety security period of 70 days)  tomato (1.0mg/kg safety security period of 10 days)  grape (0.5mg/kg safety security period of 45 days). Peduncle immersion application in cultures of pineapple (0.02mg/kg safety security period not determined due to the mode of use). Seedlings immersion in cultures of eucalyptus (non-food use). Industrial application of vegetative propagules (seedlings) before planting in culture of Sugarcane (0.01mg/kg safety security period not determined due to the mode of use). Plantation furrow in cultures of sugarcane (0.01mg/kg safety security period not determined due to the mode of use). Trunk application in cultures of citrus (1.0mg/kg safety security period of 180 days).</t>
  </si>
  <si>
    <t>G/SPS/N/BRA/949/Add.1</t>
  </si>
  <si>
    <t>Foliar application in cultures of cotton (0.1mg/kg safety security period of 30 days)  oat (0.3mg/kg safety security period of 14 days)  potato (0.1mg/kg safety security period of 7 days)  coffee (0.5mg/kg safety security period of 30 days)  sugarcane (0.01mg/kg safety security period of 40 days)  barley (0.2mg/kg safety security period of 14 days)  citrus (0.2mg/kg safety security period of 15 days)  cauliflower (0.15mg/kg safety security period of 4 days)  tobacco (non-food use)  sunflower (0.1mg/kg safety security period of 7 days)  corn (0.1mg/kg safety security period of 45 days)  cabbage (0.05mg/kg safety security period of 14 days)  soy (0.1mg/kg safety security period of 30 days)  sorghum (0.5mg/kg safety security period of 7 days)  tomato (0.1mg/kg safety security period of 4 days)  wheat (0.05mg/kg safety security period of 14 days).</t>
  </si>
  <si>
    <t>G/SPS/N/BRA/947/Add.1</t>
  </si>
  <si>
    <t>Foliar application in cultures of lettuce (0.5mg/kg safety security period of 14 days)  cotton (0.5mg/kg safety security period of 30 days)  garlic (0.05mg/kg safety security period of 30 days)  chicory (0.01mg/kg safety security period of 14 days)  banana (0.1mg/kg safety security period of 7 days)  potato (0.5mg/kg safety security period of 21 days)  eggplant (0.5mg/kg safety security period of 7 days)  sugarcane (0.4mg/kg safety security period of 30 days)  onion (0.05mg/kg safety security period of 21 days)  citrus (1.0mg/kg safety security period of 21 days)  cabbage (2.0mg/kg safety security period of 14 days)  chrysanthemum (non-food use)  eucalyptus (non-food use)  bean (0.07mg/kg safety security period of 21 days)  tobacco  (non-food use)  gerbera (non-food use)  guava (0.1mg/kg safety security period of 7 days)  gilo (0.05mg/kg safety security period of 7 days)  papaya (2.0mg/kg safety security period of 7 days)  mango (0.7mg/kg safety security period of 7 days)  passion fruit (0.2mg/kg safety security period of 7 days)  watermelon (0.2mg/kg safety security period of 7 days)  corn (0.5mg/kg safety security period of 30 days)  Indian fig (0.5mg/kg safety security period of 16 days)  cucumber (0.2mg/kg safety security period of 7 days)  pepper (0.5mg/kg safety security period of 7 days)  pinus (non-food use)  poinsettia (non-food use)  soy (0.1mg/kg safety security period of 21 days)  tomato (0.5mg/kg safety security period of 7 days)  wheat (0.5mg/kg safety security period of 30 days)  grape (1.0mg/kg safety security period of 7 days). Foliar (seedling) application in cultures of pineapple (0.05mg/kg safety security period of 75 days)  pumpkin (0.05mg/kg safety security period of 40 days)  zucchini (0.05mg/kg safety security period of 40 days)  broccoli (0.01mg/kg safety security period of 82 days)  chicory (0.01mg/kg safety security period of 14 days)  cauliflower (0.05mg/kg safety security period of 82 days)  watermelon (0.2mg/kg safety security period of 40 days)  melon (0.2mg/kg safety security period of 14 days)  cucumber (0.2mg/kg safety security period of 40 days)  cabbage (0.05mg/kg safety security period of 50 days). Seeds application in cultures of cotton (0.5mg/kg safety security period not determined due to the mode of use)  peanut (0.05mg/kg safety security period not determined due to the mode of use)  rice (0.05mg/kg safety security period not determined due to the mode of use)  oat (0.05mg/kg safety security period not determined due to the mode of use)  barley (0.05mg/kg safety security period not determined due to the mode of use)  bean (0.07mg/kg safety security period not determined due to the mode of use)  sunflower (0.1mg/kg safety security period not determined due to the mode of use)  castor beans (non-food use)  corn (0.5mg/kg safety security period not determined due to the mode of use)  soy (0.1mg/kg safety security period not determined due to the mode of use)  sorghum (0.1mg/kg safety security period not determined due to the mode of use)  wheat (0.5mg/kg safety security period not determined due to the mode of use). Soil application in cultures of coffee (0.07mg/kg safety security period of 45 days)  sugarcane (0.4mg/kg safety security period not determined due to the mode of use)  eucalyptus (non-food use)  tobacco (non-food use)  pinus (non-food use). Trunk application in cultures of coffee (0.07mg/kg safety security period of 45 days)  citrus (1.0mg/kg safety security period of 21 days)  papaya (2.0mg/kg safety security period of 60 days)  peach (0.1mg/kg safety security period of 30 days)  grape (1.0mg/kg safety security period of 60 days).</t>
  </si>
  <si>
    <t>G/SPS/N/BRA/953/Add.1</t>
  </si>
  <si>
    <t xml:space="preserve">Foliar application in cultures of lettuce (1.0mg/kg safety security period of 1 day)  cotton (0.02mg/kg safety security period of 21 days)  watercress (1.0mg/kg safety security period of 1 day)  garlic (0.05mg/kg safety security period of 7 days)  leek (1.0mg/kg safety security period of 1 day)  peanut (0.02mg/kg safety security period of 42 days)  rice (1.0mg/kg safety security period of 21 days)  oat (0.07mg/kg safety security period of 7 days)  potato (0.02mg/kg safety security period of 10 days)  sugarcane (0.01mg/kg safety security period of 30 days)  onion (0.02mg/kg safety security period of 3 days)  chive (1.0mg/kg safety security period of 1 day)  barley (0.3mg/kg safety security period of 7 days)  citrus (1.0mg/kg safety security period of 10 days)  coriander (1.0mg/kg safety security period of 1 day)  chrysanthemum (non-food use)  pea (0.2mg/kg safety security period of 3 days)  bean (0.02mg/kg safety security period of 14 days)  fig (0.1mg/kg safety security period of 1 day)  tobacco (non-food use)  sunflower (0.05mg/kg safety security period of 7 days)  papaya (0.1mg/kg safety security period of 7 days)  cassava (0.02mg/kg safety security period of 10 days)  mango (0.05mg/kg safety security period of 5 days)  watermelon (0.1mg/kg safety security period of 14 days)  melon (0.02mg/kg safety security period of 7 days)  corn (0.02mg/kg safety security period of 30 days)  strawberry (0.1mg/kg safety security period of 1 day)  indian fig (feed) (0.05mg/kg safety security period of 7 days)  pasture (0.7mg/kg safety security period of 3 days)  cucumber (0.02mg/kg safety security period of 1 day)  pepper (0.2mg/kg safety security period of 1 day)  cabbage (0.03mg/kg safety security period of 1 day)  rose (non-food use)  soy (0.02mg/kg safety security period of 30 days)  sorghum (0.1mg/kg safety security period of 7 days)  tomato (1.0mg/kg safety security period of 3 days)  wheat (0.02mg/kg safety security period of 42 days)  grape (0.5mg/kg safety security period of 7 days). Soil application in cultures of pineapple (0.02mg/kg safety security period of 60 days)  zucchini (0.02mg/kg safety security period of 45 days)  lettuce (1.0mg/kg safety security period not determined due to the mode of use)  rice (1.0mg/kg safety security period of 78 days)  potato (0.02mg/kg safety security period of 89 days)  eggplant (0.02mg/kg safety security period of 40 days)  coffee (0.1mg/kg safety security period of 90 days)  sugarcane (0.01mg/kg safety security period not determined due to the mode of use)  citrus (1.0mg/kg safety security period of 14 days)  pod bean (0.02mg/kg safety security period of 60 days)  tobacco (non-food use)  apple (0.02mg/kg safety security period of 60 days)  papaya (0.1mg/kg safety security period of 7 days)  watermelon (0.1mg/kg safety security period of 14 days)  melon (0.02mg/kg safety security period of 43 days)  strawberry (0.1mg/kg safety security period of 1 day)  cucumber (0.02mg/kg safety security period of 45 days)  peach (0.02mg/kg safety security period of 45 days)  pepper (0.2mg/kg safety security period of 46 days)  cabbage (0.03mg/kg safety security period of 70 days)  tomato (1.0mg/kg safety security period of 10 days)  grape (0.5mg/kg safety security period of 45 days). Seeds application in cultures of cotton (0.02mg/kg safety security period not determined due to the mode of use)  peanut (0.02mg/kg safety security period not determined due to the mode of use)  rice (1.0mg/kg safety security period not determined due to the mode of use)  potato (0.02 mg/kg and safety security period not determined due to the mode of use)  barley (0.3mg/kg safety security period not determined due to the mode of use)  bean (0.02mg/kg safety security period not determined due to the mode of use)  sunflower (0.05mg/kg safety security period not determined due to the mode of use)  corn (0.02mg/kg safety security period not determined due to the mode of use)  pasture (0.7mg/kg safety security period not determined due to the mode of use)  soy (0.02mg/kg safety security period not determined due to the mode of use)  sorghum (0.1mg/kg safety security period not determined due to the mode of use)  wheat (0.02mg/kg safety security period not determined due to the mode of use). Plantation furrow application in cultures of sugarcane (0.01mg/kg safety security period not determined due to the mode of use) and corn (0.02mg/kg safety security period not determined due to the mode of use). Immersion (peduncle) application in cultures of pineapple (0.02mg/kg safety security period not determined due to the mode of use). Immersion (seedling) in cultures of eucalyptus (non-food use). Trunk application in cultures of citrus (1.0mg/kg safety security period of 180 days). Industrial treatment of vegetative propagules (seedlings) before plantation in cultures of sugarcane (0.01mg/kg safety security period not determined due to the mode of use). </t>
  </si>
  <si>
    <t>G/SPS/N/BRA/956/Add.1</t>
  </si>
  <si>
    <t>Foliar application in cultures of pineapple (0.5mg/kg safety security period of 14 days)  pumpkin (0.1mg/kg safety security period of 14 days)  cotton (0.2mg/kg safety security period of 14 days)  garlic (5.0mg/kg safety security period of 14 days)  peanut (0.1mg/kg safety security period of 7 days)  anthurium (non-food use)  rice (0.5mg/kg safety security period of 7 days)  banana (0.5mg/kg safety security period of 14 days)  begonia (non-food use)  eggplant (0.05mg/kg safety security period of 14 days)  coffee (0.03mg/kg safety security period of 28 days)  onion (0.1mg/kg safety security period of 7 days)  citrus (5.0mg/kg safety security period of 14 days)  gillyflower (non-food use)  chrysanthemum (non-food use)  pea (0.1mg/kg safety security period of 14 days)  eucalyptus (non-food use)  bean (2.0mg/kg safety security period of 14 days)  gladiolus (non-food use)  hydrangea (non-food use)  apple (0.5mg/kg safety security period of 7 days)  papaya (0.5mg/kg safety security period of 3 days)  mango (2.0mg/kg safety security period of 14 days)  watermelon (0.3mg/kg safety security period of 13 days)  melon (0.5mg/kg safety security period of 14 days)  corn (2.0mg/kg safety security period of 3 days)  strawberry (0.5mg/kg safety security period of 14 days)  orchids (non-food use)  jatropha (non-food use)  cucumber (0.2mg/kg safety security period of 7 days)  rose (non-food use)  rubber tree (non-food use)  soy (0.5mg/kg safety security period of 21 days)  tomato (0.2mg/kg safety security period of 14 days)  wheat (0.1mg/kg safety security period of 14 days)  grape (0.7mg/kg safety security period of 14 days). Seeds application in cultures of cotton (0.2mg/kg safety security period not determined due to the mode of use)  peanut (0.1mg/kg safety security period not determined due to the mode of use)  rice (0.5mg/kg safety security period not determined due to the mode of use)  potato (0.1mg/kg safety security period not determined due to the mode of use)  barley (0.01mg/kg safety security period not determined due to the mode of use)  bean (2.0mg/kg safety security period not determined due to the mode of use)  corn (2.0mg/kg safety security period not determined due to the mode of use)  sorghum (0.01mg/kg safety security period not determined due to the mode of use)  soy (0.5mg/kg safety security period not determined due to the mode of use)  wheat (0.1mg/kg safety security period not determined due to the mode of use). Bulb sets application in cultures of garlic (5.0mg/kg safety security period not determined due to the mode of use).</t>
  </si>
  <si>
    <t>G/SPS/N/BRA/955/Add.1</t>
  </si>
  <si>
    <t>Foliar application in cultures of cotton (0.1mg/kg safety security period of 21 days)  oat (0.3mg/kg safety security period of 14 days)  potato (0.1mg/kg safety security period of 14 days)  banana (0.1mg/kg safety security period of 3 days)  coffee (0.05mg/kg safety security period of 30 days)  eucalyptus (non-food use)  bean (0.1mg/kg safety security period of 14 days)  apple (0.06mg/kg safety security period of 14 days)  papaya (0.5mg/kg safety security period of 7 days)  melon (0.5mg/kg safety security period of 10 days)  corn (0.05mg/kg safety security period of 42 days)  soy (0.1mg/kg safety security period of 28 days)  tomato (0.1mg/kg safety security period of 7 days)  wheat (0.1mg/kg safety security period of 20 days). Seeds application in cultures of cotton (0.1mg/kg safety security period not determined due to the mode of use)  oat (0.3mg/kg safety security period not determined due to the mode of use)  barley (0.1mg/kg safety security period not determined due to the mode of use)  bean (0.1mg/kg safety security period not determined due to the mode of use)  soy (0.1mg/kg safety security period not determined due to the mode of use)  wheat (0.1mg/kg safety security period not determined due to the mode of use). Soil application in cultures of coffee (0.05mg/kg safety security period of 120 days)  apple (0.06mg/kg safety security period of 50 days). Localized application in cultures of banana (0.1mg/kg safety security period of 60 days).</t>
  </si>
  <si>
    <t>G/SPS/N/BRA/958/Add.1</t>
  </si>
  <si>
    <t>Foliar application in cultures of acerola (2.0mg/kg safety security period of 7 days)  cotton (0.3mg/kg safety security period of 21 days)  garlic (0.5mg/kg safety security period of 14 days)  mulberry (2.0mg/kg safety security period of 7 days)  potato (0.05mg/kg safety security period of 7 days)  onion (0.05mg/kg safety security period of 14 days)  citrus (0.5mg/kg safety security period of 14 days)  cabbage (1.0mg/kg safety security period of 14 days)  chrysanthemum (non-food use)  eucalyptus (non-food use)  bean (0.1mg/kg safety security period of 14 days)  raspberry (2.0mg/kg safety security period of 7 days)  papaya (0.1mg/kg safety security period of 14 days)  passion fruit (0.05mg/kg safety security period of 14 days)  watermelon (0.05mg/kg safety security period of 14 days)  melon (0.05mg/kg safety security period of 14 days)  corn (0.05mg/kg safety security period of 45 days)  strawberry (2.0mg/kg safety security period of 7 days)  green pepper (0.3mg/kg safety security period of 14 days)  Surinam cherry (2.0mg/kg safety security period of 7 days)  cabbage (0.2mg/kg safety security period of 7 days)  rose (non-food use)  tomato (0.2mg/kg safety security period of 7 days).</t>
  </si>
  <si>
    <t>G/SPS/N/BRA/985/Add.1</t>
  </si>
  <si>
    <t xml:space="preserve">Foliar application in cultures of pineapple (0.7mg/kg  safety security period of 7 days  pumpkin (0.01mg/kg  safety security period of 7 days)  zucchini (0.01mg/kg  safety security period of 7 days)  Barbados cherry (1.0mg/kg  safety security period of 7 days)  chard (0.3mg/kg  safety security period of 7 days)  watercress (0.3mg/kg  safety security period of 7 days)  lettuce (0.3mg/kg  safety security period of 7 days)  garlic (0.03mg/kg  safety security period of 7 days)  cotton (0.1mg/kg  safety security period of 30 days)  blackberry (1.0mg/kg  safety security period of 7 days)  oat (0.3mg/kg  safety security period of 14 days)  potato (0.1mg/kg  safety security period of 7 days)  eggplant (0.03mg/kg  safety security period of 14 days)  beet (0.02mg/kg  safety security period of 14 days)  broccoli (0.01mg/kg  safety security period of 7 days)  coffee (0.5mg/kg  safety security period of 30 days)  sugarcane (0.01mg/kg  safety security period of 40 days)  onion (0.03mg/kg  safety security period of 7 days)  barley (0.2mg/kg  safety security period of 14 days)  citrus (0.2mg/kg  safety security period of 15 days)  chicory (0.3mg/kg  safety security period of 7 days)  chayote (0.01mg/kg  safety security period of 7 days)  Chinese cabbage (0.01mg/kg  safety security period of 7 days)  Brussels sprouts (0.01mg/kg  safety security period of 7 days)  cauliflower (0.01mg/kg  safety security period of 7 days)  spinach (0.3mg/kg  safety security period of 7 days)  tobacco (non-food use)  sunflower (0.2mg/kg  safety security period of 7 days)  scarlet eggplant (0.03mg/kg  safety security period of 14 days)  mango (0.7mg/kg  safety security period of 7 days)  white carrot (0.02mg/kg  safety security period of 14 days)  corn (0.1mg/kg  safety security period of 45 days)  strawberry (1.0mg/kg  safety security period of 7 days)  mustard (0.3mg/kg  safety security period of 7 days)  turnip (0.02mg/kg  safety security period of 14 days)  cucumber (0.01mg/kg  safety security period of 7 days)  pepper (0.03mg/kg  safety security period of 14 days)  green pepper (0.03mg/kg  safety security period of 14 days)  Surinam cherry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(0.05mg/kg  safety security period of 14 days). </t>
  </si>
  <si>
    <t>G/SPS/N/BRA/982/Add.1</t>
  </si>
  <si>
    <t xml:space="preserve">Foliar application in cultures of cotton (0.2mg/kg  safety security period of 28 days)  rice (0.1mg/kg  safety security period of 70 days)  sugarcane (0.1mg/kg  safety security period of 30 days)  canola (0.2mg/kg  safety security period of 21 days)  citrus (0.2mg/kg  safety security period of 30 days)  peas (0.2mg/kg  safety security period of 21 days)  cowpea (0.2mg/kg  safety security period of 21 days)  tobacco (non-food use)  sesame (0.2mg/kg  safety security period of 21 days)  sunflower (0.2mg/kg  safety security period of 21 days)  chickpea (0.2mg/kg  safety security period of 21 days)  lentil (0.2mg/kg  safety security period of 21 days)  linseed (0.2mg/kg  safety security period of 21 days)  corn (0.2mg/kg  safety security period of 60 days)  soy (0.2mg/kg  safety security period of 21 days)  tomato (0.5mg/kg  safety security period of 4 days)  wheat (0.5mg/kg  safety security period of 30 days). </t>
  </si>
  <si>
    <t>G/SPS/N/BRA/967/Add.1</t>
  </si>
  <si>
    <t>Foliar application in cultures of avocado (0.3mg/kg safety security period of 7 days)  pumpkin (0.5mg/kg safety security period of 2 days)  zucchini (0.5mg/kg safety security period of 2 days)  lettuce (1.0mg/kg safety security of 7 days)  cotton (0.1mg/kg safety security period of 30 days)  garlic (0.2mg/kg safety security period of 2 days)  peanut (0.2mg/kg safety security period of 7 days)  rice (0.7mg/kg safety security period of 30 days)  oat (0.8mg/kg safety security period of 20 days)  banana (0.2mg/kg safety security period of 7 days)  potato (0.1mg/kg safety security period of 7 days)  eggplant (0.05mg/kg safety security period of 3 days)  beet (0.2mg/kg safety security period of 2 days)  sugarcane (0.03mg/kg safety security period of 30 days)  coffee (0.05mg/kg safety security period of 21 days)  cashew (0.2mg/kg safety security period of 2 days)  persimmon (0.2mg/kg safety security period of 2 days)  onion (0.2mg/kg safety security period of 2 days)  carrot (0.2mg/kg safety security period of 7 days)  barley (0.05mg/kg safety security period of 20 days)  citrus (0.5mg/kg safety security period of 7 days)  cauliflower (0.5mg/kg safety security period of 2 days)  chrysanthemum (non-food use)  pea (0.1mg/kg safety security period of 7 days)  eucalyptus (non-food use)  bean (0.1mg/kg safety security period of 7 days)  fig (0.2mg/kg safety security period of 2 days)  sunflower (0.1mg/kg safety security period of 21 days)  guava (0.2mg/kg safety security period of 2 days)  papaya (0.3mg/kg safety security period of 3 days)  mango (0.3mg/kg safety security period of 7 days)  passion fruit (0.3mg/kg safety security period of 7 days)  watermelon (0.05mg/kg safety security period of 2 days)  melon (0.05mg/kg safety security period of 2 days)  corn (0.01mg/kg safety security period of 42 days)  strawberry (0.3mg/kg safety security period of 1 day)  cucumber (0.5mg/kg safety security period of 2 days)  peach (0.5mg/kg safety security period of 7 days)  green pepper (0.5mg/kg safety security period of 2 days)  soy (0.5mg/kg safety security period of 21 days)  tomato (0.5mg/kg safety security period of 3 days)  wheat (0.05mg/kg safety security period of 30 days)  grape (0.5mg/kg safety security period of 7 days). Seed application in cultures of cotton (0.1mg/kg safety security period not determined due to the mode of use). Plantation furrow application in cultures of sugarcane (0.03mg/kg safety security period not determined due to the mode of use). Industrial treatment of vegetative propagules (seedlings) before planting in cultures of sugarcane (0.03mg/kg safety security period not determined due to the mode of use).</t>
  </si>
  <si>
    <t>G/SPS/N/BRA/970/Add.1</t>
  </si>
  <si>
    <t xml:space="preserve">Foliar application in cultures of avocado (0.2mg/kg safety security period of 7 days)  pumpkin (0.02mg/kg safety security period of 1 day)  zucchini (0.02mg/kg safety security period of 1 day)  poplar (non-food use)  lettuce (0.5mg/kg safety security of 14 days)  cotton (0.3mg/kg safety security period of 21 days)  garlic (0.02mg/kg safety security period of 14 days)  peanut (0.1mg/kg safety security period of 22 days)  rice (1.0mg/kg safety security period of 45 days)  banana (0.5mg/kg safety security period of 7 days)  potato (0.1mg/kg safety security period of 7 days)  eggplant (0.05mg/kg safety security period of 3 days)  beet (0.1mg/kg safety security period of 3 days)  coffee (0.5mg/kg safety security period of 30 days)  cashew (0.2mg/kg safety security period of 2 days)  persimmon (0.2mg/kg safety security period of 2 days)  onion (0.1mg/kg safety security period of 7 days)  carrot (0.2mg/kg safety security period of 15 days)  citrus (0.5mg/kg safety security period of 7 days)  coconut (0.1mg/kg safety security period of 14 days)  cauliflower (1.0mg/kg safety security period of 14 days)  pea (0.5mg/kg safety security period of 14 days)  bean (0.5mg/kg safety security period of 25 days)  fig (0.2mg/kg safety security period of 2 days)  sunflower (0.04mg/kg safety security period of 14 days)  guava (0.2mg/kg safety security period of 2 days)  apple (0.5mg/kg safety security period of 5 days)  papaya (0.3mg/kg safety security period of 3 days)  mango (0.2mg/kg safety security period of 7 days)  passion fruit (0.2mg/kg safety security period of 7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green pepper (0.5mg/kg safety security period of 3 days)  rose (non-food use)  soy (0.05mg/kg safety security period of 30 days)  tomato (0.1mg/kg safety security period of 3 days)  grape (0.2mg/kg safety security period of 21 days). Seeds application in cultures of cotton (0.3mg/kg safety security period not determined due to the mode of use)  peanut (0.1mg/kg safety security period not determined due to the mode of use)  barley (0.05mg/kg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 Foliar (seedlings) application in cultures of coffee (Maximum Residue Limit and safety security period not determined due to the mode of use). </t>
  </si>
  <si>
    <t>G/SPS/N/BRA/957/Add.1</t>
  </si>
  <si>
    <t>Foliar application in cultures of lettuce (0.7mg/kg safety security period of 5 days)  cotton (0.1mg/kg safety security period of 7 days)  potato (0.01mg/kg safety security period of 3 days)  cabbage (0.1mg/kg safety security period of 5 days)  tobacco (non-food use)  melon (0.05mg/kg safety security period of 3 days)  cucumber (0.05mg/kg safety security period of 3 days)  tomato (0.1mg/kg safety security period of 3 days)</t>
  </si>
  <si>
    <t>G/SPS/N/BRA/968/Add.1</t>
  </si>
  <si>
    <t>Foliar application in cultures of cotton (0.2mg/kg safety security period of 14 days)  garlic (0.2mg/kg safety security period of 14 days)  peanut (0.2mg/kg safety security period of 7 days)  oat (0.5mg/kg safety security period of 30 days)  potato (0.05mg/kg safety security period of 14 days)  coffee (0.2mg/kg safety security period of 30 days)  onion (0.2mg/kg safety security period of 14 days)  carrot (0.05mg/kg safety security period of 14 days)  barley (0.2mg/kg safety security period of 30 days)  chrysanthemum (non-food use)  eucalyptus (non-food use)  bean (0.05mg/kg safety security period of 15 days)  French bean (0.05mg/kg safety security period of 15 days)  watermelon (0.05mg/kg safety security period of 14 days)  melon (0.1mg/kg safety security period of 14 days)  corn (0.02mg/kg safety security period of 45 days)  strawberry (0.1mg/kg safety security period of 7 days)  green pepper (0.1mg/kg safety security period of 7 days)  rose (non-food use)  soy (0.05mg/kg safety security period of 14 days)  tomato (0.05mg/kg safety security period of 7 days)  wheat (0.1mg/kg safety security period of 30 days)  grape (1.0mg/kg safety security period of 7 days).</t>
  </si>
  <si>
    <t>G/SPS/N/BRA/943/Add.1</t>
  </si>
  <si>
    <t>): Foliar application in cultures of cotton (0.1mg/kg safety security period of 21 days)  potato (0.01mg/kg safety security period of 3 days)  eggplant (0.3mg/kg safety security period of 3 days)  coffee (0.2mg/kg safety security period of 7 days)  citrus (0.5mg/kg safety security period of 14 days)  bean (0.3mg/kg safety security period of 14 days)  watermelon (0.1mg/kg safety security period of 7 days)  melon (0.2mg/kg safety security period of 7 days)  cucumber (0.3mg/kg safety security period of 7 days)  cabbage (0.1mg/kg safety security period of 14 days)  rose (non-food use)  soy (0.3mg/kg safety security period of 21 days)  tomato (0.5mg/kg safety security period of 7 days).</t>
  </si>
  <si>
    <t>G/SPS/N/EU/100</t>
  </si>
  <si>
    <t xml:space="preserve">Commission Regulation (EU) No 991/2014 of 19 September 2014 amending Annex III to Regulation (EC) No 396/2005 of the European Parliament and of the Council as regards maximum residue levels for fosetyl in or on certain products (Text with EEA relevance) </t>
  </si>
  <si>
    <t>This Regulation sets proposed maximum residue levels (MRLs) for one substance based on a statement of the European Food Safety Authority (EFSA).</t>
  </si>
  <si>
    <t xml:space="preserve"> HS codes: 0210  1001  0203  1008  1002  0206  1004  1006  1007  0205  0201  0204  0209  0202  0207  0208  1005  1003 </t>
  </si>
  <si>
    <t>G/SPS/N/BRA/985</t>
  </si>
  <si>
    <t>Draft resolution regarding the active ingredient T33 - TEFLUBENZURON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</si>
  <si>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pineapple (0.7mg/kg  safety security period of 7 days)  pumpkin (0.01mg/kg  safety security period of 7 days)  zucchini (0.01mg/kg  safety security period of 7 days)  Barbados cherry (1.0mg/kg  safety security period of 7 days)  chard (0.3mg/kg  safety security period of 7 days)  watercress (0.3mg/kg  safety security period of 7 days)  lettuce (0.3mg/kg  safety security period of 7 days)  garlic (0.03mg/kg  safety security period of 7 days)  cotton (0.1mg/kg  safety security period of 30 days)  blackberry (1.0mg/kg  safety security period of 7 days)  oat (0.3mg/kg  safety security period of 14 days)  potato (0.1mg/kg  safety security period of 7 days)  eggplant (0.03mg/kg   safety security period of 14 days)  beet (0.02mg/kg  safety security period of 14 days)  broccoli (0.01mg/kg  safety security period of 7 days)  coffee (0.5mg/kg  safety security period of 30 days)  sugarcane (0.01mg/kg  safety security period of 40 days)  onion (0.03mg/kg  safety security period of 7 days)  barley (0.2mg/kg  safety security period of 14 days)  citrus (0.2mg/kg  safety security period of 15 days)  chicory (0.3mg/kg  safety security period of 7 days)  chayote (0.01mg/kg  safety security period of 7 days)  Chinese cabbage (0.01mg/kg  safety security period of 7 days)  Brussels sprouts (0.01mg/kg  safety security period of 7 days)  cauliflower (0.01mg/kg  safety security period of 7 days)  spinach (0.3mg/kg  safety security period of 7 days)  tobacco (non-food use)  sunflower (0.2mg/kg  safety security period of 7 days)  scarlet eggplant (0.03mg/kg  safety security period of 14 days)  mango (0.7mg/kg  safety security period of 7 days)  white carrot (0.02mg/kg  safety security period of 14 days)  corn (0.1mg/kg  safety security period of 45 days)  strawberry (1.0mg/kg  safety security period of 7 days)  mustard (0.3mg/kg  safety security period of 7 days)  turnip (0.02mg/kg  safety security period of 14 days)  cucumber (0.01mg/kg   safety security period of 7 days)  pepper (0.03mg/kg  safety security period of 14 days)  green pepper (0.03mg/kg  safety security period of 14 days  Surinam cherry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(0.05mg/kg  safety security period of 14 days).</t>
  </si>
  <si>
    <t xml:space="preserve">Foliar application in cultures of pineapple (0.7mg/kg  safety security period of 7 days  pumpkin (0.01mg/kg  safety security period of 7 days)  zucchini (0.01mg/kg  safety security period of 7 days)  Barbados cherry (1.0mg/kg  safety security period of 7 days)  chard (0.3mg/kg  safety security period of 7 days)  watercress (0.3mg/kg  safety security period of 7 days)  lettuce (0.3mg/kg  safety security period of 7 days)  garlic (0.03mg/kg  safety security period of 7 days)  cotton (0.1mg/kg  safety security period of 30 days)  blackberry (1.0mg/kg  safety security period of 7 days)  oat (0.3mg/kg  safety security period of 14 days)  potato (0.1mg/kg  safety security period of 7 days)  eggplant (0.03mg/kg  safety security period of 14 days)  beet (0.02mg/kg  safety security period of 14 days)  broccoli (0.01mg/kg  safety security period of 7 days)  coffee (0.5mg/kg  safety security period of 30 days)  sugarcane (0.01mg/kg  safety security period of 40 days)  onion (0.03mg/kg  safety security period of 7 days)  barley (0.2mg/kg  safety security period of 14 days)  citrus (0.2mg/kg  safety security period of 15 days)  chicory (0.3mg/kg  safety security period of 7 days)  chayote (0.01mg/kg  safety security period of 7 days)  Chinese cabbage (0.01mg/kg  safety security period of 7 days)  Brussels sprouts (0.01mg/kg  safety security period of 7 days)  cauliflower (0.01mg/kg  safety security period of 7 days)  spinach (0.3mg/kg  safety security period of 7 days)  tobacco (non-food use)  sunflower (0.2mg/kg  safety security period of 7 days)  scarlet eggplant (0.03mg/kg  safety security period of 14 days)  mango (0.7mg/kg  safety security period of 7 days)  white carrot (0.02mg/kg  safety security period of 14 days)  corn (0.1mg/kg  safety security period of 45 days)  strawberry (1.0mg/kg  safety security period of 7 days)  mustard (0.3mg/kg  safety security period of 7 days)  turnip (0.02mg/kg  safety security period of 14 days)  cucumber (0.01mg/kg   safety security period of 7 days)  pepper (0.03mg/kg  safety security period of 14 days)  green pepper (0.03mg/kg  safety security period of 14 days)  Surinam cherry (1.0mg/kg  safety security period of 7 days)  okra (0.03mg/kg  safety security period of 14 days)  cabbage (0.01mg/kg  safety security period of 7 days)  arugula (0.3mg/kg  safety security period of 7 days)  soy (0.1mg/kg  safety security period of 30 days)  sorghum (1.5mg/kg  safety security period of 7 days)  tomato (0.1mg/kg  safety security period of 4 days)  wheat (0.05mg/kg  safety security period of 14 days). </t>
  </si>
  <si>
    <t>G/SPS/N/BRA/982</t>
  </si>
  <si>
    <t>Draft resolution regarding the active ingredient D17 - DIFLUBENZURON of the monograph list of active ingredients for pesticides  household cleaning products and wood preservers  published by Resolution - RE N° 165 of 29 August 2003  Brazilian Official Gazette (DOU Diário Oficial da União) of 2 September 2003.</t>
  </si>
  <si>
    <t>G/SPS/N/BRA/981</t>
  </si>
  <si>
    <t>Draft resolution regarding the active ingredient G01 - GLYPHOSATE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</si>
  <si>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cotton (3.0mg/kg  safety security period to the culture of cotton is not determined when the pesticide is applied in post-emergency of the weeds and pre-emergency of the culture. The safety security period to the cultures of genetically modified cotton  which express resistance to the glyphosate  is of 130 days  when the pesticide is applied in post-emergency of the weeds and of the culture)  plum (0.2mg/kg  safety security period of 17 days)  rice (0.2mg/kg  safety security period not determined due to the mode of use)  banana (0.02mg/kg  safety security period of 30 days)  cocoa (0.1mg/kg  safety security period of 30 days)  coffee (1.0mg/kg  safety security period of 15 days)  sugarcane (1.0mg/kg  safety security period not determined due to the mode of use)  citrus (0.2mg/kg  safety security period of 30 days)  coconut (0.1mg/kg  safety security period of 15 days)  eucalyptus (non-food use)  bean (0.05mg/kg  safety security period not determined due to the mode of use)  tobacco (non-food use)  apple (0.2mg/kg  safety security period of 15 days)  papaya (0.1mg/kg  safety security period of 3 days)  corn (0.1mg/kg  safety security period to the culture of corn is not determined when the pesticide is applied in post-emergency of weeds and in pre-emergency of culture. The safety security period to the culture of genetically modified corn  which express resistance to the glyphosate  is of 90 days  when the pesticide is applied in post-emergency of weeds and culture)  nectarine (0.2mg/kg  safety security period of 30 days)  pasture (0.2mg/kg  safety security period not determined due to the mode of use)  pear (0.2mg/kg  safety security period of 15 days)  peach (0.2mg/kg  safety security period of 30 days)  pinus (non-food use)  rubber tree (non-food use)  soy (10.0mg/kg  safety security period to the culture of soy is not determined when the pesticide is applied in post-emergency of weeds and in pre-emergency of culture. The safety security period to the culture of genetically modified soy  which express resistance to the glyphosate  is of 56 days  when the pesticide is applied in post-emergency of weeds and culture)  wheat (0.05mg/kg  safety security period not determined due to the mode of use)  grape (0.2mg/kg  safety security period of 17 days). Desiccant application in cultures of Black oat (20.0mg/kg  safety security period of 4 days)  ryegrass (10.0mg/kg  safety security period of 4 days)  soy (10.0mg/kg  safety security period of 7 days). Maturator application in cultures of sugarcane (1.0mg/kg  safety security period of 30 days).</t>
  </si>
  <si>
    <t xml:space="preserve">Post-emergency application in cultures of cotton (3.0mg/kg  safety security period to the culture of cotton is not determined when the pesticide is applied in post-emergency of the weeds and pre-emergency of the culture. The safety security period to the cultures of genetically modified cotton  which express resistance to the glyphosate  is of 130 days  when the pesticide is applied in post-emergency of the weeds and of the culture)  plum (0.2mg/kg  safety security period of 17 days)  rice (0.2mg/kg  safety security period not determined due to the mode of use)  banana (0.02mg/kg  safety security period of 30 days)  cocoa (0.1mg/kg  safety security period of 30 days)  coffee (1.0mg/kg  safety security period of 15 days)  sugarcane (1.0mg/kg  safety security period not determined due to the mode of use)  citrus (0.2mg/kg  safety security period of 30 days)  coconut (0.1mg/kg  safety security period of 15 days)  eucalyptus (non-food use)  bean (0.05mg/kg  safety security period not determined due to the mode of use)  tobacco (non-food use)  apple (0.2mg/kg  safety security period of 15 days)  papaya (0.1mg/kg  safety security period of 3 days)  corn (0.mg/kg  safety security period to the culture of corn is not determined when the pesticide is applied in post-emergency of weeds and in pre-emergency of culture. The safety security period to the culture of genetically modified corn  which express resistance to the glyphosate  is of 90 days  when the pesticide is applied in post-emergency of weeds and culture)  nectarine (0.2mg/kg  safety security period of 30 days)  pasture (0.2mg/kg  safety security period not determined due to the mode of use)  pear (0.2mg/kg  safety security period of 15 days)  peach (0.2mg/kg  safety security period of 30 days)  pinus (non-food use)  rubber tree (non-food use)  soy (10.0mg/kg  safety security period to the culture of soy is not determined when the pesticide is applied in post-emergency of weeds and in pre-emergency of culture. The safety security period to the culture of genetically modified soy  which express resistance to the glyphosate  is of 56 days  when the pesticide is applied in post-emergency of weeds and culture)  wheat (0.05mg/kg  safety security period not determined due to the mode of use)  grape (0.2mg/kg  safety security period of 17 days). Desiccant application in cultures of black oat (20.0mg/kg  safety security period of 4 days)  ryegrass (10.0mg/kg  safety security period of 4 days)  soy (10.0mg/kg  safety security period of 7 days). Maturator application in cultures of sugarcane (1.0mg/kg  safety security period of 30 days). </t>
  </si>
  <si>
    <t>Biotechnology  Food safety  Genetically modified organisms  Human health  Maximum residue limits (MRLs)  Pesticides</t>
  </si>
  <si>
    <t>G/SPS/N/BRA/989</t>
  </si>
  <si>
    <t>Draft resolution regarding the active ingredient F23 FLUAZIFOP-P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</si>
  <si>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lettuce (0.05mg/kg  safety security period of 28 days)  cotton (0.04mg/kg  safety security period of 60 days)  potato (0.02mg/kg  safety security period of 28 days)  broccoli (0.05mg/kg  safety security period of 28 days)  coffee (0.03mg/kg  safety security period of 14 days)  canola (0.02mg/kg  safety security period of 60 days)  onion (0.03mg/kg  safety security period of 28 days)  carrot (0.2mg/kg  safety security period of 30 days)  citrus (0.05mg/kg safety security period of 14 days)  chrysanthemum (non-food use)  cauliflower (0.05mg/kg  safety security period of 28 days)  eucalyptus (non-food use)  bean (0.04mg/kg  safety security period of 60 days)  tobacco (non-food use)  sunflower (0.02mg/kg  safety security period of 60 days)  cassava (0.02mg/kg  safety security period of 28 days)  cabbage (0.05mg/kg  safety security period of 28 days). Pinus (non-food use)  rose (non-food use)  soy (0.3mg/kg  safety security period of 60 days)  tomato (0.2mg/kg  safety security period of 30 days). Maturing application in cultures of sugarcane (0.02mg/kg  safety security period of 35 days).</t>
  </si>
  <si>
    <t>G/SPS/N/BRA/987</t>
  </si>
  <si>
    <t>Draft resolution regarding the active ingredient C56 KRESOXIM-METHYL of the monograph list of active ingredients for pesticides  household cleaning products and wood preservers  published by Resolution - RE N° 165 of 29 August 2003  Brazilian Official Gazette (DOU Diário Oficial da União) of 2 September 2003.</t>
  </si>
  <si>
    <t>Foliar application in cultures of Barbados cherry  (1.0mg/kg  safety security period of 1 day)  garlic (0.01mg/kg  safety security period of 7 days)  cotton (0.05mg/kg  safety security period of 14 days)  rice (0.02mg/kg  safety security period of 45 days)  potato (0.1mg/kg  safety security period of 7 days)  eggplant (0.05mg/kg  safety security period of 3 days)  coffee (0.05mg/kg  safety security period of 45 days)  onion (0.01mg/kg  safety security period of 7 days)  barley (0.05mg/kg  safety security period of 30 days)  chrysanthemum  (non-food use)  bean (0.05mg/kg  safety security period of 14 days)  raspberry (1.0mg/kg  safety security period of 1 day)  scarlet eggplant (0.05mg/kg  safety security period of 3 days)  kiwi (0.2mg/kg  safety security period of 7 days)  apple (0.2mg/kg  safety security period of 35 days)  mango (0.2mg/kg  safety security period of 7 days)  passion fruit (0.2mg/kg  safety security period of 7 days)  watermelon (0.01mg/kg  safety security period of 7 days)  melon (0.1mg/kg  safety security period of 7 days)  strawberry (1.0mg/kg  safety security period of 1 day)  cucumber (0.1mg/kg  safety security period of 7 days)  pepper (0.05mg/kg  safety security period of 3 days)  green pepper (0.05mg/kg  safety security period of 3 days)  okra (0.05mg/kg  safety security period of 3 days)  rose (non-food use)  soy (0.05mg/kg  safety security period of 14 days)  tomato (0.1mg/kg  safety security period of 3 days)  wheat (0.05mg/kg  safety security period of 30 days)  grape (0.5mg/kg  safety security period of 21 days).</t>
  </si>
  <si>
    <t>Foliar application in cultures of Barbados cherry (1.0mg/kg  safety security period of 1 day)  garlic (0.01mg/kg  safety security period of 7 days)  cotton (0.05mg/kg  safety security period of 14 days)  rice (0.02mg/kg  safety security period of 45 days)  potato (0.1mg/kg  safety security period of 7 days)  eggplant (0.05mg/kg  safety security period of 3 days)  coffee (0.05mg/kg  safety security period of 45 days)  onion (0.01mg/kg  safety security period of 7 days)  barley (0.05mg/kg  safety security period of 30 days)  chrysanthemum  (non-food use)  bean (0.05mg/kg  safety security period of 14 days)  raspberry (1.0mg/kg  safety security period of 1 day)  scarlet eggplant (0.05mg/kg  safety security period of 3 days)  kiwi (0.2mg/kg  safety security period of 7 days)  apple (0.2mg/kg  safety security period of 35 days)  mango (0.2mg/kg  safety security period of 7 days)  passion fruit (0.2mg/kg  safety security period of 7 days)  watermelon (0.01mg/kg  safety security period of 7 days)  melon (0.1mg/kg  safety security period of 7 days)  strawberry (1.0mg/kg  safety security period of 1 day)  cucumber (0.1mg/kg  safety security period of 7 days)  pepper (0.05mg/kg  safety security period of 3 days)  green pepper (0.05mg/kg  safety security period of 3 days)  okra (0.05mg/kg  safety security period of 3 days)  rose (non-food use)  soy (0.05mg/kg  safety security period of 14 days)  tomato (0.1mg/kg  safety security period of 3 days)  wheat (0.05mg/kg  safety security period of 30 days)  grape (0.5mg/kg  safety security period of 21 days).</t>
  </si>
  <si>
    <t>G/SPS/N/BRA/986</t>
  </si>
  <si>
    <t>Draft resolution regarding the active ingredient G05 - GLUFOSINATE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</si>
  <si>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lettuce (0.05mg/kg  safety security period of 7 days)  cotton (0.5mg/kg  safety security period of 28 days)  cotton (0.5mg/kg  the safety security period to the culture of the genetically modified cotton  which manifests resistance to the glufosinate  is of 116 days  when the pesticide is applied in post-emergency of culture and weeds)  banana (0.05mg/kg  safety security period of 10 days)  potato (0.05mg/kg  safety security period of 10 days)  coffee (0.05mg/kg  safety security period of 20 days)  citrus (0.05mg/kg  safety security period of 40 days)  eucalyptus (non-food use)  apple (0.05mg/kg  safety security period of 7 days)  corn (0.05mg/kg  safety security period not determined due to the mode of use)  corn (0.05mg/kg  the safety security period to the culture of genetically modified corn  which manifests resistance to the glufosinate  is of 50 days  when the pesticide is applied in post-emergency of culture and weeds)  nectarine (0.05mg/kg safety security period of 7 days)  peach (0.05mg/kg  safety security period of 7 days)  cabbage (0.05mg/kg  safety security period of 7 days)  soy (0.05mg/kg  safety security period of 10 days)  wheat (0.5mg/kg  safety security period not determined due to the mode of use)  grape (0.05mg/kg  safety security period of 7 days). Desiccant application in cultures of cotton (0.5mg/kg  safety security period of 28 days)  potato (0.05mg/kg  safety security period of 10 days)  bean (0.05mg/kg  safety security period of 5 days)  soy (0.05mg/kg  safety security period of 10 days)  wheat (0.5mg/kg  safety security period of 15 days).</t>
  </si>
  <si>
    <t>Post-emergency application in cultures of lettuce (0.05mg/kg  safety security period of 7 days)  cotton (0.5mg/kg  safety security period of 28 days)  cotton (0.5mg/kg  the safety security period to the culture of the genetically modified cotton  which manifests resistance to the glufosinate  is of 116 days  when the pesticide is applied in post-emergency of culture and weeds)  banana (0.05mg/kg  safety security period of 10 days)  potato (0.05mg/kg  safety security period of 10 days)  coffee (0.05mg/kg  safety security period of 20 days)  citrus (0.05mg/kg  safety security period of 40 days)  eucalyptus (non-food use)  apple (0.05mg/kg  safety security period of 7 days)  corn (0.05mg/kg  safety security period not determined due to the mode of use  corn (0.05mg/kg  the safety security period to the culture of genetically modified corn  which manifests resistance to the glufosinate  is of 50 days  when the pesticide is applied in post-emergency of culture and weeds)  nectarine (0.05mg/kg safety security period of 7 days)  peach (0.05mg/kg  safety security period of 7 days)  cabbage (0.05mg/kg  safety security period of 7 days)  soy (0.05mg/kg  safety security period of 10 days)  wheat (0.5mg/kg  safety security period not determined due to the mode of use)  grape (0.05mg/kg  safety security period of 7 days. Desiccant application in cultures of cotton (0.5mg/kg  safety security period of 28 days)  potato (0.05mg/kg  safety security period of 10 days)  bean (0.05mg/kg  safety security period of 5 days)  soy (0.05mg/kg  safety security period of 10 days)  wheat (0.5mg/kg  safety security period of 15 days).</t>
  </si>
  <si>
    <t>G/SPS/N/BRA/996</t>
  </si>
  <si>
    <t>Draft resolution regarding the active ingredient C63 LAMBDA-CYHALOTHRIN of the monograph list of active ingredients for pesticides  household cleaning products and wood preservers  published by Resolution - RE N° 165 of 29 August 2003  Brazilian Official Gazette (DOU Diário Oficial da União) of 2 September 2003.</t>
  </si>
  <si>
    <t xml:space="preserve">Foliar application in cultures of avocado (1.0mg/kg  safety security period of 10 days)  pineapple (1.0 mg/kg  safety security period of 10 days)  pumpkin (0.05 mg/kg   safety security period of 3 days)  zucchini (0.05 mg/kg  safety security period of 3 days)  watercress (1.0 mg/kg  safety security period of 1 day)  lettuce (1.0 mg/kg  safety security period of 1 day)  cotton (0.05mg/kg  safety security period of 10 days)  garlic (0.02 mg/kg  safety security period of 7 days)  elephant garlic (0.02 mg/kg  safety security period of 7 days)  peanut  (0.02mg/kg  safety security period of 21 days)  rice (1.0 mg/kg  safety security period of 21 days)  atemoya (1.0 mg/kg  safety security period of 10 days)  oat (0.2 mg/kg   safety security period of 7 days)  potato (0.05 mg/kg  safety security period of 3 days)  sweet potato (0.05mg/kg  safety security period of 3 days)  yacon potato (0.05 mg/kg  safety security period of 3 days)  eggplant (0.2 mg/kg  safety security period of 1 day)  beet (0.05 mg/kg  safety security period of 3 days)  broccoli (0.1 mg/kg  safety security period of 1 day)  coffee  (0.05mg/kg  safety security period of 1 day)  cocoa (1.0 mg/kg  safety security period of 10 days)  sugarcane (0.01 mg/kg  safety security period of 30 days)  canola (0.05mg/kg  safety security period of 20 days)  water yam (0.05mg/kg  safety security period of 3 days)  onion (0.05mg/kg  safety security period of 3 days)  Welsh onion (1.0mg/kg  safety security period of 1 day)  barley (2.0 mg/kg  safety security period of 3 days)  chayote (0.05mg/kg  safety security period of 3 days)  citrus (1.0 mg/kg  safety security period of 10 days)  coriander (1.0mg/kg  safety security period of 1 day)  kale (0.1mg/kg  safety security period of 1 day)  cauliflower (0.1mg/kg  safety security period of 1 day)  chrysanthemum (non-food use)  cupuacu (1.0mg/kg  safety security period of 10 days)  pea (0.05 mg/kg  safety security period of 20 days)  bean (0.05 mg/kg  safety security period of 15 days)  cowpea (0.05mg/kg   safety security period of 20 days) fig (0.5 mg/kg  safety security period of 1 day)  tobacco (non-food use)  ginger (0 05 mg/kg  safety security period of 3 days)  sesame (0.05 mg/kg  safety security period of 20 days)  sunflower (0.05 mg/kg  safety security period of 20 days)  chickpea (0.05mg/kg  safety security period of 20 days)  guarana (1.0 mg/kg  safety security period of 10 days)  old cocoyam (0.05mg/kg  safety security period of 3 days)  scarlet eggplant (0.2mg/kg  safety security period of 1 day)  kiwi (1.0mg/kg  safety security period of 10 days)  lentil (0.05mg/kg  safety security period of 20 days)  linseed (0.05mg/kg  safety security period of 20 days)  papaya (1.0mg/kg  safety security period of 10 days)  cassava (0.05 mg/kg  safety security period of 3 days)  arracacha (0.05mg/kg  safety security period of 3 days)  mango (0.1mg/kg  safety security period of 5 days)  passion fruit (1.0 mg/kg  safety security period of 10 days)  West Indian gherkin (0.05mg/kg  safety security period of 3 days)  watermelon (0.1mg/kg  safety security period of 3 days)  melon (0.1 mg/kg  safety security period of 3 days)  corn (1.0mg/kg  safety security period of 15 days)  strawberry (0.5 mg/kg  safety security period of 1 day)  turnip (0.05mg/kg  safety security period of 3 days)  Indian fig (feed) (2.0mg/kg  safety security period of 7 days)  pasture (2.0mg/kg   safety security period of 3 days)  cucumber (0.01mg/kg  safety security period of 1 day)  pepper (0.2mg/kg  safety security period of 1 day)  green pepper (0.2mg/kg  safety security period of 1 day)  okra (0.2mg/kg  safety security period of 1 day)  radish (0.05 mg/kg  safety security period of 3 days)  cabbage (0.1mg/kg  safety security period of 1 day)  pomegranate (1.0mg/kg  safety security period of 10 days)  rose (non-food use)  soy (0.05 mg/kg  safety security period of 20 days)  sorghum (0.3mg/kg  safety security period of 7 days)  tomato (0.05 mg/kg  safety security period of 3 days)  wheat (0.5mg/kg  safety security period of 15 days)  grape (0.3mg/kg  safety security period of 7 days). Seeds application in cultures of rice (1.0mg/kg  safety security period not determined due to the mode of use)  barley (2.0mg/kg  safety security period not determined due to the mode of use)  corn (1.0 mg/kg  safety security period not determined due to the mode of use)  pasture (2.0mg/kg  safety security period not determined due to the mode of use)  soy (0.05 mg/kg   safety security period not determined due to the mode of use)  sorghum (0.3mg/kg  safety security period not determined due to the mode of use)  wheat (0.5mg/kg  safety security period not determined due to the mode of use). Stored products application in cultures of rice (1.0mg/kg  safety security period of 42 days)  barley (2.0mg/kg  safety security period of 42 days)  corn (1.0mg/kg  safety security period of 42 days)  wheat (0.5mg/kg  safety security period of 42 days). Plantation furrow application in cultures of sugarcane (0.01mg/kg  safety security period not determined due to the mode of use). </t>
  </si>
  <si>
    <t>Foliar application in cultures of avocado (1.0mg/kg  safety security period of 10 days)  pineapple (1.0 mg/kg  safety security period of 10 days)  pumpkin (0.05 mg/kg  safety security period of 3 days)  zucchini (0.05 mg/kg  safety security period of 3 days)  watercress (1.0 mg/kg  safety security period of 1 day)  lettuce (1.0 mg/kg  safety security period of 1 day)  cotton (0.05mg/kg  safety security period of 10 days)  garlic (0.02 mg/kg  safety security period of 7 days)  elephant garlic (0.02 mg/kg  safety security period of 7 days)  peanut  (0.02mg/kg  safety security period of 21 days)  rice (1.0 mg/kg  safety security period of 21 days)  atemoya (1.0 mg/kg  safety security period of 10 days)  oat (0.2 mg/kg   safety security period of 7 days)  potato (0.05 mg/kg  safety security period of 3 days)  sweet potato (0.05mg/kg  safety security period of 3 days)  yacon potato (0.05 mg/kg  safety security period of 3 days)  eggplant (0.2 mg/kg  safety security period of 1 day)  beet (0.05 mg/kg  safety security period of 3 days)  broccoli (0.1 mg/kg  safety security period of 1 day)  coffee (0.05mg/kg  safety security period of 1 day)  cocoa (1.0 mg/kg  safety security period of 10 days)  sugarcane (0.01 mg/kg  safety security period of 30 days)  canola (0.05mg/kg  safety security period of 20 days)  water yam (0.05mg/kg  safety security period of 3 days)  onion (0.05mg/kg  safety security period of 3 days)  welsh onion (1.0mg/kg  safety security period of 1 day)  barley (2.0 mg/kg  safety security period of 3 days)  chayote (0.05mg/kg  safety security period of 3 days)  citrus (1.0 mg/kg  safety security period of 10 days)  coriander (1.0mg/kg  safety security period of 1 day)  kale (0.1mg/kg  safety security period of 1 day)  cauliflower (0.1mg/kg  safety security period of 1 day)  chrysanthemum (non-food use)  cupuacu (1.0mg/kg  safety security period of 10 days)  pea (0.05 mg/kg  safety security period of 20 days)  bean (0.05 mg/kg  safety security period of 15 days)  cowpea (0.05mg/kg  safety security period of 20 days)  fig (0.5 mg/kg  safety security period of 1 day)  tobacco (non-food use)  ginger (0.05 mg/kg  safety security period of 3 days)  sesame (0.05 mg/kg  safety security period of 20 days)  sunflower (0.05 mg/kg  safety security period of 20 days)  chickpea (0.05mg/kg  safety security period of 20 days)  guarana (1.0 mg/kg  safety security period of 10 days)  old cocoyam (0.05mg/kg  safety security period of 3 days)  scarlet eggplant (0.2mg/kg  safety security period of 1 day)  kiwi (1.0mg/kg  safety security period of 10 days)  lentil (0.05mg/kg  safety security period of 20 days)  linseed (0.05mg/kg  safety security period of 20 days)  papaya (1.0mg/kg  safety security period of 10 days)  cassava (0.05 mg/kg  safety security period of 3 days)  arracacha (0.05mg/kg  safety security period of 3 days)  mango (0.1mg/kg  safety security period of 5 days)  passion fruit (1.0 mg/kg  safety security period of 10 days)  West Indian gherkin (0.05mg/kg  safety security period of 3 days)  watermelon (0.1mg/kg  safety security period of 3 days)  Melon (0 1 mg/kg  safety security period of 3 days)  Corn (1 0mg/kg  safety security period of 15 days)  Strawberry (0 5mg/kg  safety security period of 1 day)  turnip (0.05mg/kg  safety security period of 3 days)  Indian fig (feed) (2.0mg/kg  safety security period of 7 days)  pasture (2.0mg/kg   safety security period of 3 days)  Cucumber (0 01mg/kg  safety security period of 1 day)  Pepper (0 2mg/kg  safety security period of 1 day)  green pepper (0.2mg/kg  safety security period of 1 day)  okra (0.2mg/kg  safety security period of 1 day)  radish (0.05 mg/kg  safety security period of 3 days)  cabbage (0.1mg/kg  safety security period of 1 day)  pomegranate (1.0mg/kg  safety security period of 10 days)  rose (non-food use)  soy (0.05 mg/kg  safety security period of 20 days)  sorghum (0.3mg/kg  safety security period of 7 days)  tomato (0.05 mg/kg  safety security period of 3 days)  wheat (0.5mg/kg  safety security period of 15 days)  grape (0.3mg/kg  safety security period of 7 days). Seeds application in cultures of rice (1.0mg/kg  safety security period not determined due to the mode of use)  barley (2.0mg/kg  Safety security period not determined due to the mode of use)  corn (1.0 mg/kg  safety security period not determined due to the mode of use)  pasture (2.0mg/kg  Safety security period not determined due to the mode of use)  soy (0.05 mg/kg  safety security period not determined due to the mode of use)  sorghum (0.3mg/kg  safety security period not determined due to the mode of use)  wheat (0.5mg/kg  safety security period not determined due to the mode of use). Stored products application in cultures of rice (1.0mg/kg  safety security period of 42 days)  barley (2.0mg/kg  safety security period of 42 days)  corn (1.0mg/kg  safety security period of 42 days)  wheat (0.5mg/kg  safety security period of 42 days). Plantation furrow application in cultures of sugarcane (0.01mg/kg  safety security period not determined due to the mode of use).</t>
  </si>
  <si>
    <t>G/SPS/N/BRA/995</t>
  </si>
  <si>
    <t>Draft resolution regarding the active ingredient F36  FLUTRIAFOL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</si>
  <si>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(0.5mg/kg  safety security period of 7 days)  pineapple (0.5 mg/kg  safety security period of 7 days)  pumpkin (0.1 mg/kg  safety security period of 7 days)  zucchini (0.1 mg/kg  safety security period of 7 days)  cotton (0.1 mg/kg  safety security period of 21 days)  garlic (0.1 mg/kg  safety security period of 14 days)  annonaceae (0.5mg/kg  safety security period of 7 days)  oat (0.3 mg/kg  safety security period of 14 days)  banana (0.1 mg/kg  safety security period of 3 days)  potato (0.1 mg/kg   safety security period of 14 days)  sweet potato (0.1 mg/kg  safety security period of 14 days)  yacon potato (0.1mg/kg  safety security period of 14 days)  beet (0.1 mg/kg   safety security period of 14 days)  eggplant (0.1 mg/kg  safety security period of 7 days)  cocoa (0.5 mg/kg  safety security period of 7 days)  coffee (0.05 mg/kg  safety security period of 30 days)  sugarcane (0.3 mg/kg  safety security period of 30 days  canola (0.1 mg/kg  safety security period of 14 days)  water yam (0.1 mg/kg  safety security period of 14 days)  onion (0.1 mg/kg  safety security period of 14 days)  shallot (0 1 mg/kg  safety security period of 14 days)  chayote (0.1mg/kg  safety security period of 7 days)  cupuacu (0.5 mg/kg  safety security period of 7 days)  pea (0.1mg/kg  safety security period of 14 days)  eucalyptus (non-food use)  bean (0.1 mg/kg  safety security period of 14 days)  cowpea (0.1 mg/kg  safety security period of 14 days)  ginger (0.1 mg/kg  safety security period of 14 days)  sesame (0.1 mg/kg  safety security period of 14 days)  sunflower (0.1 mg/kg  safety security period of 14 days)  chickpea (0.1mg/kg  safety security period of 14 days)  guarana (0.5 mg/kg  safety security period of 7 days)  old cocoyam (0.1 mg/kg  safety security period of 14 days)  scarlet eggplant (0.1 mg/kg  safety security period of 7 days)  kiwi (0.5 mg/kg  safety security period of 7 days)  lentil (0.1mg/kg  safety security period of 14 days)  linseed (0.1 mg/kg  safety security period of 14 days)  apple (0.06 mg/kg  safety security period of 14 days)  papaya (0.5 mg/kg  safety security period of 7 days)  cassava (0.1 mg/kg  safety security period of 14 days)  arracacha (0.1 mg/kg  safety security period of 14 days)  mango (0.5 mg/kg  safety security period of 7 days)  passion fruit (0.5 mg/kg  safety security period of 7 days)  West Indian gherkin (0.1 mg/kg  safety security period of 7 days)  melon (0.5 mg/kg  safety security period of 10 days)  corn (0.05mg/kg  safety security period of 42 days)  turnip (0.1 mg/kg  safety security period of 14 days)  cucumber (0.1 mg/kg  safety security period of 7 days)  pepper  (0.1mg/kg  safety security period of 7 days)  green pepper (0.1 mg/kg  safety security period of 7 days)  okra (0.1 mg/kg  safety security period of 7 days)  radish (0.1 mg/kg  safety security period of 14 days)  pomegranate (0.5 mg/kg  safety security period of 7 days)  soy (0.1 mg/kg  safety security period of 28 days)  tomato (0.1 mg/kg  safety security period of 7 days)  wheat  (0.1mg/kg  safety security period of 20 days). Seeds application in cultures of cotton (0.1 mg/kg  safety security period not determined due to the mode of use)  oat (0.3 mg/kg  safety security period not determined due to the mode of use)  barley (0.1 mg/kg  safety security period not determined due to the mode of use)  bean (0.1 mg/kg  safety security period not determined due to the mode of use)  soy (0.1 mg/kg  safety security period not determined due to the mode of use)  wheat (0.1 mg/kg  safety security period not determined due to the mode of use. Soil application in cultures of coffee (0.05 mg/kg  safety security period of 120 days)  apple (0.06 mg/kg  safety security period of 50 days). Localized application in cultures of banana (0.1mg/kg  safety security period of 60 days).</t>
  </si>
  <si>
    <t>Foliar application in cultures of avocado (0.5mg/kg  safety security period of 7 days)  pineapple (0.5 mg/kg  safety security period of 7 days)  pumpkin (0.1 mg/kg  safety security period of 7 days)  zucchini (0.1 mg/kg  safety security period of 7 days)  cotton (0.1 mg/kg  safety security period of 21 days)  garlic (0.1 mg/kg  safety security period of 14 days)  annonaceae (0.5mg/kg  safety security period of 7 days)  oat (0.3 mg/kg  safety security period of 14 days)  banana (0.1 mg/kg  safety security period of 3 days)  potato (0.1 mg/kg   safety security period of 14 days)  sweet potato (0.1 mg/kg  safety security period of 14 days)  yacon potato (0.1mg/kg  safety security period of 14 days)  beet (0.1 mg/kg  safety security period of 14 days)  eggplant (0.1 mg/kg  safety security period of 7 days)  cocoa (0.5 mg/kg  safety security period of 7 days)  coffee (0.05 mg/kg  safety security period of 30 days)  sugarcane (0.3 mg/kg  safety security period of 30 days)  canola (0.1 mg/kg  safety security period of 14 days)  water yam (0.1 mg/kg  safety security period of 14 days)  onion (0.1 mg/kg  safety security period of 14 days)  shallot (0.1 mg/kg  safety security period of 14 days)  chayote  (0.1mg/kg  safety security period of 7 days)  cupuacu (0.5 mg/kg  safety security period of 7 days)  pea (0.1mg/kg  safety security period of 14 days)  eucalyptus (non-food use)  bean (0.1 mg/kg  safety security period of 14 days)  cowpea (0.1 mg/kg  safety security period of 14 days)  ginger (0.1 mg/kg  safety security period of 14 days)  sesame (0.1 mg/kg  safety security period of 14 days)  sunflower (0.1 mg/kg  safety security period of 14 days)  chickpea (0.1mg/kg  safety security period of 14 days)  guarana (0.5 mg/kg  safety security period of 7 days)  old cocoyam (0.1 mg/kg  safety security period of 14 days)  scarlet eggplant (0.1 mg/kg  safety security period of 7 days)  kiwi (0.5 mg/kg  safety security period of 7 days)  lentil (0.1mg/kg  safety security period of 14 days)  linseed (0.1 mg/kg  safety security period of 14 days)  apple (0.06 mg/kg  safety security period of 14 days)  papaya (0.5 mg/kg  safety security period of 7 days)  cassava (0.1 mg/kg  safety security period of 14 days)  arracacha (0.1 mg/kg  safety security period of 14 days)  mango (0.5 mg/kg  safety security period of 7 days)  passion fruit (0.5 mg/kg  safety security period of 7 days)  West Indian gherkin (0.1 mg/kg  safety security period of 7 days)  melon (0.5 mg/kg  safety security period of 10 days)  corn (0.05mg/kg  safety security period of 42 days)  turnip (0.1 mg/kg  safety security period of 14 days)  cucumber (0.1 mg/kg  safety security period of 7 days)  pepper  (0.1mg/kg  safety security period of 7 days)  green pepper (0.1 mg/kg  safety security period of 7 days)  okra (0.1 mg/kg  safety security period of 7 days)  radish (0.1 mg/kg  safety security period of 14 days)  pomegranate (0.5 mg/kg  safety security period of 7 days)  soy (0.1 mg/kg  safety security period of 28 days)  tomato (0.1 mg/kg  safety security period of 7 days)  wheat  (0.1mg/kg  safety security period of 20 days). Seeds application in cultures of cotton (0.1 mg/kg  safety security period not determined due to the mode of use)  oat (0.3 mg/kg  safety security period not determined due to the mode of use)  barley (0.1 mg/kg  safety security period not determined due to the mode of use)  bean (0.1 mg/kg  safety security period not determined due to the mode of use)  soy (0.1 mg/kg  safety security period not determined due to the mode of use  wheat (0.1 mg/kg  safety security period not determined due to the mode of use. Soil application in cultures of coffee (0.05 mg/kg  safety security period of 120 days)  apple (0.06 mg/kg  safety security period of 50 days). Localized application in cultures of banana (0.1mg/kg  safety security period of 60 days).</t>
  </si>
  <si>
    <t>G/SPS/N/BRA/993</t>
  </si>
  <si>
    <t>Draft resolution regarding the active ingredient M31 METALAXYL-M of the monograph list of active ingredients for pesticides  household cleaning products and wood preservers  published by Resolution - RE N° 165 of 29 August 2003  Brazilian Official Gazette (DOU Diário Oficial da União) of 2 September 2003.</t>
  </si>
  <si>
    <t>Seeds application in cultures of cotton (0.01mg/kg  safety security period not determined due to the mode of use)  peanut (0.01mg/kg  safety security period not determined due to the mode of use)  rice (0.01mg/kg  safety security period not determined due to the mode of use)  canola (0.01mg/kg  safety security period not determined due to the mode of use)  bean (0.01mg/kg  safety security period not determined due to the mode of use)  sunflower (0.01mg/kg  safety security period not determined due to the mode of use)  corn (0.05mg/kg  safety security period not determined due to the mode of use)  pasture (0.01mg/kg  safety security period not determined due to the mode of use)  soy (0.05mg/kg  safety security period not determined due to the mode of use)  sorghum (0.02mg/kg  safety security period not determined due to the mode of use). Foliar application in cultures of potato (0.05mg/kg  safety security period of 7 days)  onion (0.5mg/kg  safety security period of 7 days)  tobacco (non-food use)  watermelon (0.1mg/kg  safety security period of 3 days)  melon (0.1mg/kg  safety security period of 3 days)  cucumber (0.1mg/kg  safety security period of 14 days)  cabbage (0.07mg/kg  safety security period of 7 days)  rose (non-food use)  tomato (0.05mg/kg  safety security period of 3 days)  grape (1.0mg/kg  safety security period of 7 days). Industrial treatment of vegetative propagules (seedlings) before the plantation of sugarcane (0.01mg/kg  safety security period not determined due to the mode of use).</t>
  </si>
  <si>
    <t xml:space="preserve">Seeds application in cultures of cotton (0.01mg/kg  Safety security period not determined due to the mode of use)  peanut (0.01mg/kg  safety security period not determined due to the mode of use)  rice (0.01mg/kg  safety security period not determined due to the mode of use)  canola (0.01mg/kg  safety security period not determined due to the mode of use)  bean (0.01mg/kg  safety security period not determined due to the mode of use)  sunflower (0.01mg/kg  safety security period not determined due to the mode of use)  corn (0.05mg/kg  safety security period not determined due to the mode of use)  pasture (0.01mg/kg  safety security period not determined due to the mode of use)  soy (0.05mg/kg  safety security period not determined due to the mode of use)  sorghum (0.02mg/kg  safety security period not determined due to the mode of use). Foliar application in cultures of potato (0.05mg/kg  safety security period of 7 days)  onion (0.5mg/kg  safety security period of 7 days)  tobacco (non-food use)  watermelon (0.1mg/kg   safety security period of 3 days)  melon (0.1mg/kg  safety security period of 3 days)   cucumber (0.1mg/kg  safety security period of 14 days)  cabbage (0.07mg/kg  safety security period of 7 days)  rose (non-food use)  tomato (0.05mg/kg  safety security period of 3 days)  grape (1.0mg/kg  safety security period of 7 days). Industrial treatment of vegetative propagules (seedlings) before the plantation of sugarcane (0.01mg/kg  safety security period not determined due to the mode of use). </t>
  </si>
  <si>
    <t>Food safety  Human health  Maximum residue limits (MRLs)  Pesticides  Seeds</t>
  </si>
  <si>
    <t>G/SPS/N/BRA/992</t>
  </si>
  <si>
    <t>Draft resolution regarding the active ingredient I12 IMAZAPYR of the monograph list of active ingredients for pesticides  household cleaning products and wood preservers  published by Resolution - RE N° 165 of 29 August 2003  Brazilian Official Gazette (DOU Diário Oficial da União) of 2 September 2003.</t>
  </si>
  <si>
    <t>Pre/post-emergency application in cultures of rice (0.05mg/kg  safety security period of 60 days)  sugarcane (0.05mg/kg  safety security period not determined due to the mode of use)  pinus (non-food use)  rubber tree (non-food use). Post-emergency application in cultures of soy (3.0mg/kg  safety security period of 60 days)  bean  (0.02mg/kg  safety security period of 40 days)  corn (0.1mg/kg  safety security period of 96 days). Pre-emergency application in cultures of soy (3.0mg/kg  safety security period not determined due to the mode of use). Stumps and strains application in cultures of eucalyptus (non-food use).</t>
  </si>
  <si>
    <t xml:space="preserve">Pre/post-emergency application in cultures of rice (0.05mg/kg  safety security period of 60 days)  sugarcane (0.05mg/kg  safety security period not determined due to the mode of use)  pinus (non-food use)  rubber tree (non-food use). Post-emergency application in cultures of soy (3.0mg/kg  safety security period of 60 days)  bean (0.02mg/kg  safety security period of 40 days)  corn (0.1mg/kg  safety security period of 96 days). Pre-emergency application in cultures of soy (3 0mg/kg  safety security period not determined due to the mode of use). Stumps and strains application in cultures of eucalyptus (non-food use).   </t>
  </si>
  <si>
    <t>G/SPS/N/BRA/991</t>
  </si>
  <si>
    <t>Draft resolution regarding the active ingredient A38 ACIBENZOLAR-S-METHYL of the monograph list of active ingredients for pesticides  household cleaning products and wood preservers  published by Resolution - RE N° 165 of 29 August 2003  Brazilian Official Gazette (DOU Diário Oficial da União) of 2 September 2003.</t>
  </si>
  <si>
    <t>Foliar application in cultures of cotton (1.0mg/kg  safety security period of 21 days)  potato (0.1mg/kg  safety security period of 14 days)  onion (0.1mg/kg  safety security period of 14 days)  eucalyptus (non-food use)  bean (1.0mg/kg  safety security period of 14 days)  melon (0.07mg/kg  safety security period of 1 day)  watermelon (0.07mg/kg  safety security period of 1 day)  tomato (0.5mg/kg  safety security period of 5 days)  wheat (0.05mg/kg  safety security period of 21 days). Foliar (seedlings) application in cultures of cocoa (maximum residue limit and safety security period not determined due to the mode of use)  citrus (maximum residue limit and safety security period not determined due to the mode of use).</t>
  </si>
  <si>
    <t>G/SPS/N/KOR/488</t>
  </si>
  <si>
    <t xml:space="preserve">The proposed amendment seeks to: 1. Establish and revise the standards for heavy metals. - Inorganic arsenic: not more than 0.2 mg/kg in rice - Lead: not more than 0.1 mg/kg in nuts  not more than 0.05 mg/kg in fruit and vegetable juice - Cadmium: not more than 0.2 mg/kg in nuts 2. Revise the standard for the use of Acorus gramineus Soland. - Acorus gramineus Soland. shall only be used as a form of water extract. 3. Establish the standard for the safe use of tetrahydrocannabinol (THC) in hemp (Cannabis sativa L.) seed (not more than 5 mg/kg) and hemp seed oil (not more than 10 mg/kg). 4. Permit the limited usage of raw young antler (Cornus cervi parvum) in processed extract products. 5. Expand the parts (leaf  stem) allowed  to be used from Artemisia annua Linne.  6. Adopt the statistical concepts for sanitary indicative bacteria and foodborne pathogens  in 19 food types including rice cakes. 7. Establish the specifications for Escherichia coli in kimchi for the reinforcement of sanitary and safety management. 8. Establish the regulation related to the sales of thawed products in food service businesses. - Frozen products may be thawed and sold on the same day in food service businesses. </t>
  </si>
  <si>
    <t>Bacteria  Contaminants  Escherichia coli  Food additives  Food safety  Heavy metals  Human health</t>
  </si>
  <si>
    <t>G/SPS/N/KOR/487</t>
  </si>
  <si>
    <t>Proposed Draft Amendment of the Decree of the Special Act on Safety Control of Children's Dietary Life</t>
  </si>
  <si>
    <t>The proposed draft is seek to: Expand the scope of highly caffeinated foods to include processed milk that contains high levels of caffeine  Revise the scope of food detrimental to children's emotional health by deleting money-shaped food.</t>
  </si>
  <si>
    <t>Food  food safety  food additives  packaging and containers for food.</t>
  </si>
  <si>
    <t>G/SPS/N/BRA/980</t>
  </si>
  <si>
    <t>Draft resolution regarding the active ingredient P01 - PARAQUAT of the monograph list of active ingredients for pesticides  household cleaning products and wood preservers  published by Resolution - RE N° 165 of 29 August 2003  Brazilian Official Gazette (DOU Diário Oficial da União) of 2 September 2003.</t>
  </si>
  <si>
    <t xml:space="preserve">Post-emergency application in cultures of avocado (0.05mg/kg  safety security period of 1 day)  pineapple (0.05mg/kg  safety security period of 1 day)  cotton (0.2mg/kg  safety security period of 7 days)  rice (0.5mg/kg  safety security period of 7 days)  asparagus (0.05mg/kg  safety security period of 1 day)  banana (0.05mg/kg  safety security period of 1 day)  potato (0.2mg/kg  safety security period not determined due to the mode of use)  beet (0.05mg/kg  safety security period of 7 days)  cocoa (0.05mg/kg  safety security period of 7 days)  coffee (0.05mg/kg  safety security period of 7 days)  sugarcane (0.1mg/kg  safety security period of 7 days)  citrus (0.05mg/kg. safety security period of 1 day)  coconut (0.05mg/kg  safety security period of 1 day)  kale (0.05mg/kg  safety security period of 1 day)  bean (0.05mg/kg  safety security period not determined due to the mode of use)  apple (0.05mg/kg  safety security period of 1 day)  corn (0.1mg/kg  safety security period of 7 days)  pastures (5.0mg/kg  safety security period of 7 days)  pear (0.05mg/kg  safety security period of 1 day)  peach (0.05mg/kg  safety security period of 1 day)  rubber tree (non-food use)  soy (0.1mg/kg  safety security period of 7 days)  sorghum (0.5mg/kg  safety security period of 7 days)  wheat (0.01mg/kg  safety security period not determined due to the mode of use)  grape (0.05mg/kg  safety security period of 1 day). Desiccant application in cultures of cotton (0.2mg/kg  safety security period of 7 days)  rice (0.5mg/kg  safety security period of 7 days)  potato (0.2mg/kg  safety security period of 7 days)  sugarcane (0.1mg/kg  safety security period of 7 days)  corn (0.1mg/kg  safety security period of 7 days)  soy (0.1mg/kg  safety security period of 7 days)  sorghum (0.5mg/kg  safety security period of 7 days).  </t>
  </si>
  <si>
    <t>Post-emergency application in cultures of avocado (0.05mg/kg  safety security period of 1 day)  pineapple (0.05mg/kg  safety security period of 1 day)  cotton (0.2mg/kg  safety security period of 7 days)  rice (0.5mg/kg  safety security period of 7 days)  asparagus (0.05mg/kg  safety security period of 1 day)  banana (0.05mg/kg  safety security period of 1 day)  potato (0.2mg/kg  safety security period not determined due to the mode of use)  beet (0.05mg/kg  safety security period of 7 days)  cocoa (0.05mg/kg  safety security period of 7 days)  coffee (0.05mg/kg  safety security period of 7 days)  sugarcane (0.1mg/kg  safety security period of 7 days)  citrus (0.05mg/kg. safety security period of 1 day)  coconut (0.05mg/kg  safety security period of 1 day)  kale (0.05mg/kg  safety security period of 1 day)  bean (0.05mg/kg  safety security period not determined due to the mode of use)  apple (0.05mg/kg  safety security period of 1 day)  corn (0.1mg/kg  safety security period of 7 days)  pastures (5.0mg/kg  safety security period of 7 days)  pear (0.05mg/kg  safety security period of 1 day)  peach (0.05mg/kg  safety security period of 1 day)  rubber tree (non-food use)  soy (0.1mg/kg  safety security period of 7 days)  sorghum (0.5mg/kg  safety security period of 7 days)  wheat (0.01mg/kg  safety security period not determined due to the mode of use)  grape (0.05mg/kg  safety security period of 1 day). Desiccant application in cultures of cotton (0.2mg/kg  safety security period of 7 days)  rice (0.5mg/kg  safety security period of 7 days)  potato (0.2mg/kg  safety security period of 7 days)  sugarcane (0.1mg/kg  safety security period of 7 days)  corn (0.1mg/kg  safety security period of 7 days)  soy (0.1mg/kg  safety security period of 7 days)  sorghum (0.5mg/kg  safety security period of 7 days).</t>
  </si>
  <si>
    <t>G/SPS/N/BRA/979</t>
  </si>
  <si>
    <t>Draft resolution regarding the active ingredient T54 - TRIFLOXYSTROBIN of the monograph list of active ingredients for pesticides  household cleaning products and wood preservers  published by Resolution - RE n° 165 of 29 August 2003  Brazilian Official Gazette (DOU Diário Oficial da União) of 2 September 2003.</t>
  </si>
  <si>
    <t>Foliar application in cultures of cotton (0.05mg/kg  safety security period of 21 days)  garlic (0.05mg/kg  safety security period of 14 days)  peanut (0.05mg/kg  safety security period of 15 days)  rice (0.2mg/kg  safety security period of15 days)  oat (0.05mg/kg   safety security period of 30 days)  banana (0.05mg/kg  safety security period of 1 day)  potato (0.02mg/kg  safety security period of 30 days)  coffee (0.05mg/kg  safety security period of 30 days)  sugarcane (0.05mg/kg  safety security period of 90 days)  persimmon (0.2mg/kg  safety security period of 20 days)  onion (0.02mg/kg  safety security period of14 days)  carrot (0.05mg/kg  safety security period of 14 days)  barley (0.5mg/kg  safety security period of 30 days)  citrus (0.2mg/kg  safety security period of 14 days)  eucalyptus (non-food use)  bean (0.2mg/kg  safety security period of 15 days)  guava (0.05mg/kg  safety security period of 20 days)  apple (0.05mg/kg  safety security period of 7 days)  papaya (0.05mg/kg  safety security period of 7 days)  mango (0.05mg/kg  safety security period of 20 days)  passion fruit (0.05mg/kg  safety security period of 7 days)  watermelon (0.05mg/kg  safety security period of 14 days)  melon (0.5mg/kg  safety security period of 14 days)  corn (0.05mg/kg  safety security period of 30 days)  soy (0.02mg/kg   safety security period of 30 days)  tomato (0.5mg/kg  safety security period of 7 days)  wheat (0.05 mg/kg  safety security period of 30 days). Plantation furrow application in cultures of sugarcane (0.05mg/kg  safety security period of 90 days).</t>
  </si>
  <si>
    <t>Foliar application in cultures of cotton (0.05mg/kg  safety security period of 21 days)  garlic (0.05mg/kg  safety security period of 14 days)  peanut (0.05mg/kg  safety security period of15 days)  rice (0.2mg/kg  safety security period of15 days)  oat (0.05mg/kg   safety security period of 30 days)  banana (0.05mg/kg  safety security period of 1 day)  potato (0.02mg/kg  safety security period of 30 days)  coffee (0.05mg/kg  safety security period of 30 days)  sugarcane (0.05mg/kg  safety security period of 90 days)  persimmon (0.2mg/kg  safety security period of 20 days)  onion (0.02mg/kg  safety security period of14 days)  carrot (0.05mg/kg  safety security period of 14 days)  barley (0.5mg/kg  safety security period of 30 days)  citrus (0.2mg/kg  safety security period of14 days)  eucalyptus (non-food use)  bean (0.2mg/kg  safety security period of 15 days)  guava (0.05mg/kg  safety security period of 20 days)  apple (0.05mg/kg  safety security period of 7 days)  papaya (0.05mg/kg  safety security period of 7 days)  mango (0.05mg/kg  safety security period of 20 days)  passion fruit (0.05mg/kg  safety security period of 7 days)  watermelon (0.05mg/kg  safety security period of 14 days)  melon (0.5mg/kg  safety security period of 14 days)  corn (0.05mg/kg  safety security period of 30 days)  soy (0.02mg/kg   safety security period of 30 days)  tomato (0.5mg/kg  safety security period of 7 days)  wheat (0.05 mg/kg  safety security period of 30 days). Plantation furrow application in cultures of sugarcane (0.05mg/kg  safety security period of 90 days).</t>
  </si>
  <si>
    <t>G/SPS/N/CAN/830/Add.1</t>
  </si>
  <si>
    <t>Pesticide halauxifen-methyl in or on various food commodities (ICS Codes: 65.020  65.100  67.060  67.080  67.100  67.120)</t>
  </si>
  <si>
    <t>G/SPS/N/BRA/978</t>
  </si>
  <si>
    <t>Draft resolution regarding the active ingredient B41 - BOSCALID of the monograph list of active ingredients for pesticides  household cleaning products and wood preservers  published by Resolution - RE n° 165 of 29 August 2003  Brazilian Official Gazette (DOU Diário Oficial da União) of 2 September 2003.</t>
  </si>
  <si>
    <t>Foliar application in cultures of chard (10.0mg/kg  safety security period of 3 days)  acerola (5.0mg/kg  safety security period of 1 day)  lettuce (11.0mg/kg  safety security period of 3 days)  chicory (10.0mg/kg  safety security period of 3 days)  garlic (0 01 mg/kg safety security period of 7 days)  blackberry (5.0mg/kg safety security period of 1 day)  potato (0.05mg/kg  safety security period of 3 days)  eggplant (0.5mg/kg safety security period of 3 days)  coffee (0.05mg/kg  safety security period of 45 days)  onion (0.01mg/kg  safety security period of 7 days)  carrot (0.05mg/kg  safety security period of 7 days)  chicory (10.0 mg/kg  safety security period of 3 days)  Chrysanthemum (non-food use)  spinach (10.0mg/kg  safety security period of 3 days)  bean (0.01mg/kg  safety security period of 14 days)  raspberry (5.0mg/kg  safety security period of 1 day)  scarlet eggplant (0.5mg/kg  safety security period of 3 days)  kiwi (1.0mg/kg  safety security period of 7 days)  mango (1.0mg/kg  safety security period of 7 days)  watermelon (0.5mg/kg  safety security period of 7 days)  melon (0.5mg/kg  safety security period of 7 days)  strawberry (5.0mg/kg  safety security period of 1 day)  mustard (10.0mg/kg  safety security period of 3 days)  cucumber (0.05mg/kg  safety security period of 7 days)  pepper (0.5mg/kg  safety security period of 3 days)  green pepper (0.5mg/kg  safety security period of 3 days)  okra (0.5mg/kg  safety security period of 3 days)  rose (non-food use)  red mombin (5.0mg/kg  safety security period of 1 day)  tomato (0.05mg/kg  safety security period of 1 day)  grape (3.0mg/kg  safety security period of 21 days).</t>
  </si>
  <si>
    <t>Foliar application in cultures of chard (10.0mg/kg  safety security period of 3 days)  acerola (5.0mg/kg  safety security period of 1 day)  lettuce (11.0mg/kg  safety security period of 3 days)  chicory (10.0mg/kg  safety security period of 3 days)  garlic (0.01 mg/kg safety security period of 7 days)  blackberry (5.0mg/kg safety security period of 1 day)  potato (0.05mg/kg  safety security period of 3 days)  eggplant (0.5mg/kg safety security period of 3 days)  coffee (0.05mg/kg  safety security period of 45 days)  onion (0.01mg/kg  safety security period of 7 days)  carrot (0.05mg/kg  safety security period of 7 days)  chicory (10.0 mg/kg  safety security period of 3 days)  chrysanthemum (non-food use)  spinach (10.0mg/kg  safety security period of 3 days)  bean (0.01mg/kg  safety security period of 14 days)  raspberry (5.0mg/kg  safety security period of 1 day)  scarlet eggplant (0.5mg/kg  safety security period of 3 days)  kiwi (1.0mg/kg  safety security period of 7 days)  mango (1.0mg/kg  safety security period of 7 days)  watermelon (0.5mg/kg  safety security period of 7 days)  melon (0.5mg/kg  safety security period of 7 days)  strawberry (5.0mg/kg  safety security period of 1 day)  mustard (10.0mg/kg  safety security period of 3 days)  cucumber (0.05mg/kg  safety security period of 7 days)  pepper (0.5mg/kg  safety security period of 3 days)  green pepper (0.5mg/kg  safety security period of 3 days)  okra (0.5mg/kg  safety security period of 3 days)  rose (non-food use)  red mombin (5.0mg/kg  safety security period of 1 day)  tomato (0.05mg/kg  safety security period of 1 day)  grape (3.0mg/kg  safety security period of 21 days).</t>
  </si>
  <si>
    <t>G/SPS/N/VNM/57/Add.1</t>
  </si>
  <si>
    <t>Food flavouring agents</t>
  </si>
  <si>
    <t>G/SPS/N/USA/2593/Add.2</t>
  </si>
  <si>
    <t xml:space="preserve"> HS codes: 11  12  02  01 </t>
  </si>
  <si>
    <t>G/SPS/N/USA/2569/Add.2</t>
  </si>
  <si>
    <t>Human food under the jurisdiction of the US Food and Drug Administration which excludes meat  poultry  and processed egg products. HS Codes: 04  05  07  08  09  10  11  12  15  16  17  18  19  20  21  22  ICS Codes: 65  67.</t>
  </si>
  <si>
    <t xml:space="preserve"> HS codes: 19  17  20  16  10  07  04  18  15  05  08  21  12  09  11  22 </t>
  </si>
  <si>
    <t>G/SPS/N/USA/2502/Add.5</t>
  </si>
  <si>
    <t>G/SPS/N/EU/98</t>
  </si>
  <si>
    <t xml:space="preserve">Commission Regulation (EU) No 966/2014 of 12 September 2014 amending Annex to Regulation (EU) No 231/2012 laying down specifications for food additives listed in Annexes II and III to Regulation (EC) No 1333/2008 of the European Parliament and of the Council as regards specifications for calcium propionate (Text with EEA relevance) </t>
  </si>
  <si>
    <t>Amending of specifications of food additive Calcium propionate (E 282) regarding the maximum level of fluoride (20 mg/kg).</t>
  </si>
  <si>
    <t>G/SPS/N/EU/97</t>
  </si>
  <si>
    <t xml:space="preserve">Commission Regulation (EU) No 969/2014 of 12 September 2014 amending Annex II to Regulation (EC) No 1333/2008 of the European Parliament and of the Council as regards the use of Calcium ascorbate (E 302) and Sodium alginate (E 401) in certain unprocessed fruit and vegetables (Text with EEA relevance) </t>
  </si>
  <si>
    <t>Authorisation of the use of Calcium ascorbate (E 302) and Sodium alginate (E 401) as glazing agents in certain prepacked  refrigerated  unprocessed fruit and vegetables ready for consumption.</t>
  </si>
  <si>
    <t>G/SPS/N/EU/96</t>
  </si>
  <si>
    <t xml:space="preserve">Draft Commission Regulation (EU) amending Annex I to Regulation (EC) No 1334/2008 of the European Parliament and of the Council as regards removal from the Union List of certain flavouring substances (Text with EEA relevance). </t>
  </si>
  <si>
    <t xml:space="preserve">The Union list of flavourings and source materials is laid down in Annex I to Regulation (EC) No 1334/3008. It was established by Commission Implementing Regulation (EU) No 872/2012 of 1 October 2012 adopting the list of flavouring substances notified in G/SPS/N/EU/13/Add.1 (12 October 2012). This list is now proposed to be amended by this notified "Commission Regulation (EU) amending Annex I to Regulation (EC) No 1334/2008 of the European Parliament and of the Council as regards removal from the Union List of certain flavouring substances".  This addendum concerns the removal of the following 5 substances:  Flavis no. Name of the substance CAS No. JECFA No.  CoE 01.014 1-Methylnaphthalene 90-12-0 1335 11009 13.052 Furfuryl methyl ether 13679-46-4 1520 10944 13.056 Difurfuryl sulfide 13678-67-6 1080 11438 13.061 Difurfuryl ether 4437-22-3 1522 10930 13.123 Ethyl furfuryl ether 6270-56-0 1521 10940  The substance 1-Methylnaphthalene  Flavis No 01.014  was evaluated by the European Food Safety Authority (EFSA) in 2008 (EFSA Opinion on Flavouring Group Evaluation 78 (FGE.78)) http://www.efsa.europa.eu/en/efsajournal/pub/931.htm) and additional toxicity data on it were requested. This was repeated in the revision of this EFSA opinion of 2011 (Opinion on Flavouring Group Evaluation 78  Revision 1  FGE.78Rev1)  http://www.efsa.europa.eu/en/efsajournal/pub/2178.htm).  The three substances Furfuryl methyl ether  Flavis No 13.052  Difurfuryl ether  Flavis No 13.061  and Ethyl furfuryl ether  Flavis No 13.123  were evaluated by EFSA in 2011 (opinion on Flavouring Group FGE 67 rev.1) (http://www.efsa.europa.eu/en/efsajournal/pub/2315.htm) and EFSA identified a concern for genotoxicity. Therefore genotoxicity data was required to address this concern.  The substance difurfuryl sulphide  Flavis No 13.056  was evaluated by EFSA in 2009 (opinion on Flavouring Group Evaluation 65 (FGE.65)  http://www.efsa.europa.eu/en/scdocs/doc/1406.pdf) and an adequate toxicity study to establish a NOAEL was requested. The Commission Implementing Regulation (EU) No 872/2012 laid down in 2012 the deadline of 31 December 2013 for the submission of the requested additional scientific data for these five substances. This Regulation also indicated that where the necessary information is not provided by the time requested  the flavouring substance in question will be removed from the Union list. The data requested concerning these five substances has not been submitted by the time of the deadline of 31 December2013. These five substances are therefore removed from the Union list as sufficient data to support their safety have not been provided. </t>
  </si>
  <si>
    <t>G/SPS/N/MYS/33</t>
  </si>
  <si>
    <t>Draft Amendment of the Twelfth A Schedule  Food Regulations 1985: Probiotic Cultures</t>
  </si>
  <si>
    <t>The proposed draft amendment is intended to substitute the existing schedule of Permitted Bifido Bacteria which consists of only two species of bifidobacteria with more species of probiotic cultures according to their strain.</t>
  </si>
  <si>
    <t>G/SPS/N/AUS/346</t>
  </si>
  <si>
    <t>Proposal to Amend Standard 1.4.2 of the Australia New Zealand Food Standards Code (23 September 2014 - Proposed amendment (Agricultural and Veterinary Chemicals Code Instrument No. 4 (MRL Standard) Amendment Instrument 2014 (No. 8)))</t>
  </si>
  <si>
    <t>G/SPS/N/CAN/871</t>
  </si>
  <si>
    <t>Proposed Maximum Residue Limit: Mandipropamid (PMRL2014-58)</t>
  </si>
  <si>
    <t>The objective of the notified document PMRL2014-58 is to consult on the listed domestic maximum residue limits (MRLs) for mandipropamid that have been proposed by the Health Canada's Pest Management Regulatory Agency (PMRA). MRL (ppm) Raw Agricultural Commodity (RAC) and/or Processed Commodity 200Dried basil leaves 30Fresh basil leaves 1.0aAfrican eggplant  Bush tomato  coconas  currant tomatoes  garden huckleberries  goji berries  martynias  naranjillas  okras  pea eggplants  roselles  scarlet eggplants  sunberries  tree tomato 0.9Edible-podded legume vegetables subgroup (Crop Subgroup 6A) 0.3Ginseng roots ppm = parts per million a Currently  there is an MRL of 1.0 ppm established in/on Fruiting Vegetables (Crop Group 8). This MRL of 1.0 ppm will be extended to the additional commodities in/on Fruiting Vegetables (revised Crop Group 8-09).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</si>
  <si>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G/SPS/N/CAN/870</t>
  </si>
  <si>
    <t>Proposed Maximum Residue Limit: Isofetamid (PMRL2014-57)</t>
  </si>
  <si>
    <t xml:space="preserve">Le document PMRL2014-57 a pour but de mener une consultation sur les limites maximales de résidus (LMR) canadiennes pour l'isofétamide qui ont été proposées par l'Agence de réglementation de la lutte antiparasitaire (ARLA) de Santé Canada. LMR (ppm) Produit agricole brut et/ou produit transformé 7 Laitue frisée 5 Laitue pommée  raisins secs 4 Petits fruits de plantes naines (sous-groupe de cultures 13-07G) 3 Petits fruits de plantes grimpantes  sauf le kiwi (sous-groupe de cultures 13-07F) 0 03 Huile de canola (raffinée)  huile de lin  huile de graines de moutarde  huile de sésame 0 015 Colza (sous-groupe de cultures 20A (révisé) 0 01 Amandes ppm = parts per million Une LMR est proposée pour chaque denrée faisant partie des groupes de cultures présentés à la page Groupes de cultures et propriétés chimiques de leurs résidus (http://www.hc-sc.gc.ca/cps-spc/pest/part/protect-proteger/food-nourriture/rccg-gcpcr-fra.php) dans la section Pesticides et lutte antiparasitaire du site Web de Santé Canada. </t>
  </si>
  <si>
    <t>G/SPS/N/EEC/384/Add.2</t>
  </si>
  <si>
    <t>Cereals (HS Codes: 1001  1002  1003  1004  1005  1006  1007  1008)  foodstuffs of animal origin (HS Codes: 0201  0202  0202  0203  0204  0205  0206  0207  0208  0209  0210) and certain products of plant origin  including fruit and vegetables</t>
  </si>
  <si>
    <t>Food safety  Human health  Maximum residue limits (MRLs)  Pesticides  Plant health</t>
  </si>
  <si>
    <t>G/SPS/N/EU/95</t>
  </si>
  <si>
    <t>"Commission Regulation (EU) No 737/2014 of 24 June 2014 amending Annexes II and III to Regulation (EC) No 396/2005 of the European Parliament and of the Council as regards maximum residue levels for 2-phenylphenol  chlormequat  cyflufenamid  cyfluthrin  dicamba  fluopicolide  flutriafol  fosetyl  indoxacarb  isoprothiolane  mandipropamid  metaldehyde  metconazole  phosmet  picloram  propyzamide  pyriproxyfen  saflufenacil  spinosad and trifloxystrobin in or on certain products" (Text with EEA relevance)</t>
  </si>
  <si>
    <t>This Regulation sets proposed maximum residue levels (MRLs) for 20 substances based on reasoned opinions of the European Food Safety Authority (EFSA).</t>
  </si>
  <si>
    <t xml:space="preserve"> HS codes: 0202  0207  0208  1007  0205  0204  0201  0209  1008  1002  0206  1004  1006  0203  1001  0210  1003  1005 </t>
  </si>
  <si>
    <t>G/SPS/N/KOR/486</t>
  </si>
  <si>
    <t>The amendments seek to change the range of Children's favourite food by excluding foods that are labelled or advertised to be for adult consumption (such as alcohol-containing chocolates  non-alcoholic beer  etc.)</t>
  </si>
  <si>
    <t>food  food safety  food additives  packaging and containers for food</t>
  </si>
  <si>
    <t>G/SPS/N/CAN/845/Add.1</t>
  </si>
  <si>
    <t xml:space="preserve"> HS codes: 0307 </t>
  </si>
  <si>
    <t>G/SPS/N/EU/87/Add.1</t>
  </si>
  <si>
    <t>G/SPS/N/IDN/94</t>
  </si>
  <si>
    <t>Draft of Revised Regulation of Minister of Agriculture concerning Food Safety Control on Importation and Exportation of Fresh Food of Plant Origin</t>
  </si>
  <si>
    <t>The main changes on the revised regulation are as follow: 1. Fresh Food of Plant Origin shall only be imported to Indonesia from: a. countries have a recognition for its food safety control system  or b. countries with registered food safety testing laboratory/ies.  2. Procedure for recognition of food safety system control in exporting country (article 1 point a) as in the previous regulation with minor changer.  3. The requirement for registration of food safety testing laboratory/ies in exporting country (article 1 point b) are: a. The laboratory/ies shall accredited by an authorized and competent body in exporting country  and b. The laboratory/ies shall has the competency to analyze the type of FFPO that will be exported to Indonesia with testing scope at least in accordance with the type of pesticide used in exporting country and other relevant testing parameters required in this regulation.  4. Procedure for registration of food safety testing laboratory/ies in exporting country are as follows: a. application for registration by Food Safety Competent Authority in exporting country accompanied by required documents/information  b. document assessment  c. field verification  and d. registered food safety laboratory/ies stipulated by Minister of Agriculture.  5. Related to document requirements  there are some changes as follows: a. Prior notice shall be issued by exporter of Fresh Food of Plant Origin (FFPO) in origin country electronically through IAQA's official web portal (http://eplaqsystem.karantina.pertanian.go.id/notice/)  b. Aside from prior notice  FFPO's importation from country with registered food safety testing laboratory/ies shall be completed with Certificate of Analysis (CoA) issued by registered laboratory.  6. This regulation also stipulates special provision for transit country.  7. The recognitions decree that have been stipulated for several countries will remain valid until the end of the stipulation period.</t>
  </si>
  <si>
    <t>Fresh food of plant origin</t>
  </si>
  <si>
    <t>G/SPS/N/CAN/811/Add.1</t>
  </si>
  <si>
    <t>Pesticide cyflumetofen in or on various food commodities (ICS Codes: 65.020  65.100  67.080  67.100)</t>
  </si>
  <si>
    <t>G/SPS/N/SGP/52/Add.3</t>
  </si>
  <si>
    <t>G/SPS/N/NZL/508</t>
  </si>
  <si>
    <t>Proposals to Amend (No. 2) the New Zealand (Maximum Residue Limits of Agricultural Compounds) Food Standards 2014</t>
  </si>
  <si>
    <t>The document contains technical details on proposals to amend the New Zealand (Maximum Residue Limits of Agricultural Compounds) Food Standards 2014. MPI proposes to add the following new MRLs to the MRL Standards:  - 0.02 mg/kg for acibenzolar-s-methyl when used as an immune stimulant on kiwifruit  - 0.2 mg/kg for decoquinate in poultry meat  0.8 mg/kg in poultry offal and 0.4 mg/kg in poultry skin/fat when used as an anticoccidial in poultry  - 0.05 mg/kg for spinetoram when used as an insecticide on citrus  - 0.01(*) mg/kg for streptomycin when used as a bactericide on kiwifruit  - 0.01(*) mg/kg for sulfoxaflor when used as an insecticide on barley  - Extend the current exemption for the plant extracts (unrefined) to include Camellia sinesis and Fallopia sachalinensis to the list of plant species  - Banda de Lupinus albus doce (BLAD) when used as a fungicide  - Polysaccharides when used as an agricultural chemical. (*) Limit of quantification</t>
  </si>
  <si>
    <t>G/SPS/N/JPN/361</t>
  </si>
  <si>
    <t>Proposal for the Food Labelling Standard based on the Food Labelling Act</t>
  </si>
  <si>
    <t>The Food Labelling Standard will be newly established by improving the existing labelling standards. The new standard shall make nutrition declaration mandatory such labels to contribute to the improvement of consumer's health  considering international trends in nutrition labelling system. Note: This document is also notified via TBT notification.</t>
  </si>
  <si>
    <t>Processed foods  fresh foods and food additives</t>
  </si>
  <si>
    <t>Allergens  Food additives  Food safety  Human health  Labelling</t>
  </si>
  <si>
    <t>G/SPS/N/CAN/636/Add.1</t>
  </si>
  <si>
    <t>G/SPS/N/KOR/485</t>
  </si>
  <si>
    <t>Proposed Draft Amendments to the Standards and Specifications for Livestock Products</t>
  </si>
  <si>
    <t xml:space="preserve">The proposed amendments seek to: 1. Revise the specifications and test method of food poisoning bacteria  2. Revise the definition of processed condensed milk by deleting related specifications of water content and milk fat  3. Revise the definition and specifications of butter: - by including salted or colored products to butter  - by including fermented products to butter and processed butter  - by excluding the specification of acid value in fermented products. 4. Revise the nutrients' specifications of infant formulas: - establish the specifications of energy  alpha-linolenic acid  the ratio of linoleic acid and alpha-linolenic acid  carbohydrate and maximum reference levels for vitamin B12  vitamin C  copper     and revise the specifications of milk protein  milk fat in Infant formula (powder  milk)  - establish the specification of energy in follow-up infant formula (powder  milk). </t>
  </si>
  <si>
    <t>Livestock products</t>
  </si>
  <si>
    <t xml:space="preserve"> HS codes: 0405  0402  1901 </t>
  </si>
  <si>
    <t>Bacteria  Food additives  Food safety  Human health</t>
  </si>
  <si>
    <t>G/SPS/N/CAN/821/Add.1</t>
  </si>
  <si>
    <t>Pesticide flubendiamide in or on various food commodities (ICS Codes: 65.020  65.100  67.060  67.080)</t>
  </si>
  <si>
    <t>G/SPS/N/NZL/502/Add.1</t>
  </si>
  <si>
    <t>Specified foods for human consumption containing animal products</t>
  </si>
  <si>
    <t xml:space="preserve"> HS codes: 16  04  02 </t>
  </si>
  <si>
    <t>G/SPS/N/KOR/484</t>
  </si>
  <si>
    <t>Proposed Amendments to the Standards for Children's Preferred Foods Quality Authentication</t>
  </si>
  <si>
    <t>The proposed amendments seek to encourage manufacturing  processing  distributing and selling of safe and well-balanced children's preferred foods products by: - Clarification of children's preferred foods standards for quality authentication  - Harmonizing with revised standards for labeling  etc.</t>
  </si>
  <si>
    <t>G/SPS/N/CAN/817/Add.1</t>
  </si>
  <si>
    <t>Pesticide prothioconazole in or on various food commodities (ICS Codes: 65.020  65.100  67.040 and 67.080)</t>
  </si>
  <si>
    <t>G/SPS/N/USA/2156/Add.5</t>
  </si>
  <si>
    <t>G/SPS/N/TPKM/302/Add.2</t>
  </si>
  <si>
    <t>G/SPS/N/CAN/863</t>
  </si>
  <si>
    <t>Proposed Maximum Residue Limit: Azoxystrobin (PMRL2014-55)</t>
  </si>
  <si>
    <t>The objective of the notified document PMRL2014-55 is to consult on the listed import maximum residue limits (MRLs) for azoxystrobin and the Z-isomer that have been proposed by the Health Canada's Pest Management Regulatory Agency (PMRA). MRL (ppm) Raw Agricultural Commodity (RAC) and/or Processed Commodity 40 Citrus oila 15 Citrus Fruits  Revised (Crop Group 10)b 4.0 Small fruit vine climbing  except fuzzy kiwifruit Subgroup (Crop Subgroup 13-07F)c 3.0 Pepper/Eggplant Subgroup (Crop Subgroup 8-09B)d 2.0 Stone Fruits (Crop Group 12)e  acerola  atemoya  avocado  biriba  canistel  cherimoya  custard apple  dragon fruit  feijoa  guava  ilama  jaboticaba  jackfruit  longan  loquat  passionfruit  pawpaw  papaya  persimmon  pulasan  rambutan  sapodilla  black sapote  mamey sapote  white sapote  soursop  spanish lime  star apple  starfruit  tamarind  wax jambu  and sugar apple 0.7 Cottonseed Subgroup (Crop Subgroup 20C) 0.2 Sugarcane cane ppm = parts per million a   This action revises the established MRL of 3.3 ppm for orange oil. b   This action revises the established MRL of 10 ppm for crops in Crop Group 10. c  This action revises the established MRL of 3.0 ppm for crops in Crop Subgroup 13-07F. d  This action revises the established MRL of 2.0 ppm for crops in Crop Subgroup 8-09B. e  This action revises the established MRL of 0.8 ppm for peaches.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</si>
  <si>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Pesticide azoxystrobin in or on various food commodities (ICS Codes: 65.020  65.100  67.040)</t>
  </si>
  <si>
    <t>G/SPS/N/CAN/862</t>
  </si>
  <si>
    <t>Proposed Maximum Residue Limit: Pyraflufen-ethyl (PMRL2014-54)</t>
  </si>
  <si>
    <t>The objective of the notified document PMRL2014-54 is to consult on the listed domestic maximum residue limits (MRLs) for pyraflufen-ethyl and metabolite E-1 that have been proposed by the Health Canada's Pest Management Regulatory Agency (PMRA). MRL (ppm) Raw Agricultural Commodity (RAC) and/or Processed Commodity 0.02 Eggs  milk  fat  meat and meat by-products of cattle  goats  hogs  horses  poultry and sheep 0.01 Dry soybeans  field corn  wheat ppm = parts per million</t>
  </si>
  <si>
    <t>Pesticide pyraflufen-ethyl in or on various food commodities (ICS Codes: 65.020  65.100  67.040)</t>
  </si>
  <si>
    <t>G/SPS/N/MYS/32</t>
  </si>
  <si>
    <t>Draft Amendment of Regulation 19  Food Regulations 1985: Harmonisation of food additives provisions with the Codex Standard</t>
  </si>
  <si>
    <t>The purpose of this amendment is to harmonize the food additive provisions under the Food Regulations 1985 with the Codex Standard (Codex Commodity Standard and Codex General Standard for Food Additive (GSFA)). The amendment also prescribes the requirement for purity of the permitted food additive.</t>
  </si>
  <si>
    <t>G/SPS/N/CAN/856</t>
  </si>
  <si>
    <t>Proposed Maximum Residue Limit: Boscalid (PMRL2014-50)</t>
  </si>
  <si>
    <t>The objective of the notified document PMRL2014-50 is to consult on the listed import maximum residue limits (MRLs) for boscalid that have been proposed by the Health Canada's Pest Management Regulatory Agency (PMRA). MRL (ppm) Raw Agricultural Commodity (RAC) and/or Processed Commodity 3.0  Citrus fruits (Crop Group 10- Revised)  2.0 Avocadoes  black sapotes  canistels  mamey sapotes  mangoes  papayas  sapodillas  star apples 0.6 Bananas 85 Citrus oil 0.05 Green coffee beans  ppm = parts per million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</si>
  <si>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G/SPS/N/KOR/483</t>
  </si>
  <si>
    <t>Proposed amendments to Functional Health Foods Act  Enforcement decree of the Functional Health Foods Act  Enforcement rule of the Functional Health Foods Act</t>
  </si>
  <si>
    <t>The proposed amendments are seek to:  Strengthen the penalty for business operators that use materials not permitted by this act  (imprisonment for not more than five years or fines not exceeding 100 million won  =&gt; imprisonment for not more than ten years or fines not exceeding 100 million won)  Delete the provision that restricts the reporting of the import of functional health food within five days prior to its arrival.</t>
  </si>
  <si>
    <t>G/SPS/N/TPKM/322</t>
  </si>
  <si>
    <t>The amendment of Appendix of Article 3 of Regulation for Systematic Inspection of Imported Food</t>
  </si>
  <si>
    <t>The Promulgation of the draft for the amendment of Appendix of Article 3 of Regulation for Systematic Inspection of Imported Food.</t>
  </si>
  <si>
    <t>Imported meat and poultry products</t>
  </si>
  <si>
    <t xml:space="preserve"> HS codes: 1601  1602  0504  02 </t>
  </si>
  <si>
    <t>Animal diseases  Bovine Spongiform Encephalopathy(BSE)  Certification  control and inspection  Food safety  Human health  Transmissible Spongiform Encephalopathy (TSE)  Zoonoses</t>
  </si>
  <si>
    <t>G/SPS/N/TPKM/321</t>
  </si>
  <si>
    <t>Questionnaires of Equivalence Information of Food Safety System in Meat and Poultry products for applying import to Taiwan</t>
  </si>
  <si>
    <t>The purpose of this questionnaire is to obtain the general information about the food safety system in meat and poultry products including their further processed products in the exporting country (territory). This information will be used to evaluate the food safety system in the exporting country (territory).</t>
  </si>
  <si>
    <t>HS Codes: 02  0504  1601  1602 Remarks: Only meat and poultry product excludes amphibians  reptiles  primates and aquatic mammals' product.</t>
  </si>
  <si>
    <t xml:space="preserve"> HS codes: 02  0504  1602  1601 </t>
  </si>
  <si>
    <t>Certification  control and inspection  Equivalence  Food safety  Human health</t>
  </si>
  <si>
    <t>G/SPS/N/CAN/845</t>
  </si>
  <si>
    <t>Foreign Food Safety Systems Recognition: Proposed Framework (FFSSR)</t>
  </si>
  <si>
    <t>As indicated in A New Regulatory Framework for Federal Food Inspection: Overview of Proposed Regulations (G/SPS/N/CAN/700/Rev.1 notified on 5 June 2014)  Canada has released a draft Framework for Foreign Food Safety Systems Recognition [FFSSR]  which describes the CFIA's approach to the recognition of a foreign country's food safety system. The proposed framework identifies its benefits and guiding principles and outlines a process to guide the implementation of this approach for the CFIA. FFSSR is an approach which involves the recognition that two countries' food safety control systems can achieve comparable public health outcomes based on comprehensive legislative frameworks  implementation and oversight programs  and monitoring of regulatory performance.  It is one approach that may be used by the CFIA in its risk management activities for imported food. Recognition of an exporting country's meat inspection system will continue to be a pre-requisite to importation into Canada based on Canada's existing assessment process. Imports of other commodities such as molluscan shellfish may also be identified as requiring systems recognition prior to admissibility  based on risk.   Applicable animal and/or plant health import requirements are not within the scope of the framework and must be met in order for food products to be imported into Canada.</t>
  </si>
  <si>
    <t xml:space="preserve"> HS codes: 02  0307 </t>
  </si>
  <si>
    <t>G/SPS/N/BRA/970</t>
  </si>
  <si>
    <t>Draft resolution regarding the active ingredient DIFENOCONAZOLE of the monograph list of active ingredients for pesticides  household cleaning products and wood preservers  published by Resolution - RE n° 165 of 29 August 2003  Brazilian Official Gazette (DOU Diário Oficial da União) of 2 September 2003</t>
  </si>
  <si>
    <t>Foliar application in cultures of avocado (0.2mg/kg safety security period of 7 days)  pumpkin (0.02mg/kg safety security period of 1 day)  zucchini (0.02mg/kg safety security period of 1 day)  poplar (non-food use)  lettuce (0.5mg/kg safety security of 14 days)  cotton (0.3mg/kg safety security period of 21 days)  garlic (0.02mg/kg safety security period of 14 days)  peanut (0.1mg/kg safety security period of 22 days)  rice (1.0mg/kg safety security period of 45 days)  banana (0.5mg/kg safety security period of 7 days)  potato (0.1mg/kg safety security period of 7 days)  eggplant (0.05mg/kg safety security period of 3 days)  beet (0.1mg/kg safety security period of 3 days)  coffee (0.5mg/kg safety security period of 30 days)  cashew (0.2mg/kg safety security period of 2 days)  persimmon (0.2mg/kg safety security period of 2 days)  onion (0.1mg/kg safety security period of 7 days)  carrot (0.2mg/kg safety security period of 15 days)  citrus (0.5mg/kg safety security period of 7 days)  coconut (0.1mg/kg safety security period of 14 days)  cauliflower (1.0mg/kg safety security period of 14 days)  pea (0.5mg/kg safety security period of 14 days)  bean (0.5mg/kg safety security period of 25 days)  fig (0.2mg/kg safety security period of 2 days)  sunflower (0.04mg/kg safety security period of 14 days)  guava (0.2mg/kg safety security period of 2 days)  apple (0.5mg/kg safety security period of 5 days)  papaya (0.3mg/kg safety security period of 3 days)  mango (0.2mg/kg safety security period of 7 days)  passion fruit (0.2mg/kg safety security period of 7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green pepper (0.5mg/kg safety security period of 3 days)  rose (non-food use)  soy (0.05mg/kg safety security period of 30 days)  tomato (0.1mg/kg safety security period of 3 days)  grape (0.2mg/kg safety security period of 21 days). Seeds application in cultures of cotton (0.3mg/kg safety security period not determined due to the mode of use)  peanut (0.1mg/kg safety security period not determined due to the mode of use)  barley (0.05mg/kg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 Foliar (seedlings) application in cultures of coffee (Maximum Residue Limit and safety security period not determined due to the mode of use).</t>
  </si>
  <si>
    <t xml:space="preserve">Foliar application in cultures of avocado (0.2mg/kg safety security period of 7 days)  pumpkin (0.02mg/kg safety security period of 1 day)  zucchini (0.02mg/kg safety security period of 1 day)  poplar (non-food use)  lettuce (0.5mg/kg safety security of 14 days)  cotton (0.3mg/kg safety security period of 21 days)  garlic (0.02mg/kg safety security period of 14 days)  peanut (0.1mg/kg safety security period of 22 days)  rice (1.0mg/kg safety security period of 45 days)  banana (0.5mg/kg safety security period of 7 days)  potato (0.1mg/kg safety security period of 7 days)  eggplant (0.05mg/kg safety security period of 3 days)  beet (0.1mg/kg safety security period of 3 days)  coffee (0.5mg/kg safety security period of 30 days)  cashew (0.2mg/kg safety security period of 2 days)  persimmon (0.2mg/kg safety security period of 2 days)  onion (0.1mg/kg safety security period of 7 days)  carrot (0.2mg/kg safety security period of 15 days)  citrus (0.5mg/kg safety security period of 7 days)  coconut (0.1mg/kg safety security period of 14 days)  cauliflower (1.0mg/kg safety security period of 14 days)  pea (0.5mg/kg safety security period of 14 days)  bean (0.5mg/kg safety security period of 25 days)  fig (0.2mg/kg safety security period of 2 days)  sunflower (0.04mg/kg safety security period of 14 days)  guava (0.2mg/kg safety security period of 2 days)  apple (0.5mg/kg safety security period of 5 days)  papaya (0.3mg/kg safety security period of 3 days)  mango (0.2mg/kg safety security period of 7 days)  passion fruit (0.2mg/kg safety security period of 7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green pepper (0.5mg/kg safety security period of 3 days)  rose (non-food use)  soy (0.05mg/kg safety security period of 30 days)  tomato (0.1mg/kg safety security period of 3 days)  grape (0.2mg/kg safety security period of 21 days). Seeds application in cultures of cotton (0.3mg/kg safety security period not determined due to the mode of use)  peanut (0.1mg/kg safety security period not determined due to the mode of use)  barley (0.05mg/kg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 Foliar (seedlings) application in cultures of coffee (Maximum Residue Limit and safety security period not determined due to the mode of use).                        </t>
  </si>
  <si>
    <t>G/SPS/N/BRA/968</t>
  </si>
  <si>
    <t>Draft resolution regarding the active ingredient METCONAZOLE of the monograph list of active ingredients for pesticides  household cleaning products and wood preservers  published by Resolution - RE n° 165 of 29 August 2003  Brazilian Official Gazette (DOU Diário Oficial da União) of 2 September 2003 Inclusion of the cultures of oat (0.5mg/kg safety security period of 30 days) and barley (0.2mg/kg safety security period of 30 days) in foliar application</t>
  </si>
  <si>
    <t>Foliar application in cultures of cotton (0.2mg/kg safety security period of 14 days)  garlic (0.2mg/kg safety security period of 14 days)  peanut (0.2mg/kg safety security period of 7 days)  oat (0.5mg/kg safety security period of 30 days)  potato (0.05mg/kg safety security period of 14 days)  coffee (0.2mg/kg safety security period of 30 days)  onion (0.2mg/kg safety security period of 14 days)  carrot (0.05mg/kg safety security period of 14 days)  barley (0.2mg/kg safety security period of 30 days)  chrysanthemum (non-food use)  eucalyptus (non-food use)  bean (0.05mg/kg safety security period of 15 days)  French bean (0.05mg/kg safety security period of 15 days)  watermelon (0.05mg/kg safety security period of 14 days)  melon (0.1mg/kg safety security period of 14 days)  corn (0.02mg/kg safety security period of 45 days)  strawberry (0.1mg/kg safety security period of 7 days)  green pepper (0.1mg/kg safety security period of 7 days)  rose (non-food use)  soy (0.05mg/kg safety security period of 14 days)  tomato (0.05mg/kg safety security period of 7 days)  wheat (0.1mg/kg safety security period of 30 days)  grape (1.0mg/kg safety security period of 7 days)</t>
  </si>
  <si>
    <t>G/SPS/N/AUS/344</t>
  </si>
  <si>
    <t>Proposal to Amend Standard 1.4.2 of the Australia New Zealand Food Standards Code (29 July 2014 - Proposed amendment (Agricultural and Veterinary Chemicals Code Instrument No. 4 (MRL Standard) Amendment Instrument 2014 (No. 7)))</t>
  </si>
  <si>
    <t>G/SPS/N/CHN/665</t>
  </si>
  <si>
    <t>National Food Safety Standard: Food Additive Monoammonium Glycyrrhizinate</t>
  </si>
  <si>
    <t>This standard applies to the food additive Monoammonium Glycyrrhizinate which is processed from Glycyrrhiza uralensis Fisch.  Glycyrrhiza inflata Bat. and Glycyrrhiza glabra L. as raw materials by the technology of water extraction -&gt; acidic precipitation of sulfuric acid (or hydrochloric acid) -&gt; ethanol extraction -&gt; ammoniation -&gt; crystallization etc. This standard specifies the technical requirements and methods of analysis of food additive Monoammonium Glycyrrhizinate.</t>
  </si>
  <si>
    <t>Food additive Monoammonium Glycyrrhizinate</t>
  </si>
  <si>
    <t>G/SPS/N/CHN/664</t>
  </si>
  <si>
    <t>National Food Safety Standard: Food Additive Polyoxyethylene Polyoxypropylene Amine</t>
  </si>
  <si>
    <t>This standard applies to related food additive polyoxyethylene polyoxypropylene amine that is aggregated by epoxyethane  propylene epoxide and low molecular polyamide (such as tri-isopropanolamine) as its main raw materials  and potassium hydroxide as a catalyst.</t>
  </si>
  <si>
    <t>Food additive polyoxyethylene polyoxypropylene amine</t>
  </si>
  <si>
    <t>G/SPS/N/CHN/663</t>
  </si>
  <si>
    <t>National Food Safety Standard: Food Additive 1 2-Dichloroethane</t>
  </si>
  <si>
    <t>This standard is applicable to the technical specifications and methods of determination of the food additive 1 2-Dichloroethane.</t>
  </si>
  <si>
    <t>Food additive 1 2-Dichloroethane</t>
  </si>
  <si>
    <t>G/SPS/N/CHN/662</t>
  </si>
  <si>
    <t>National Food Safety Standard: Food Additive Artemisia Gum</t>
  </si>
  <si>
    <t>This standard is applicable to the technical specifications and methods of determination of the food additive Artemisia Gum extracted from the Artemisia seed.</t>
  </si>
  <si>
    <t>Food additive Artemisia gum</t>
  </si>
  <si>
    <t>G/SPS/N/CHN/661</t>
  </si>
  <si>
    <t>National Food Safety Standard: Food Additive Lo-Han-Kuo Extract</t>
  </si>
  <si>
    <t>The scope of application  chemical name  constitutional formula  molecular formula  relative molecular mass and technical specifications of food additive Lo-Han-Kuo extract.</t>
  </si>
  <si>
    <t>Food additive Lo-Han-Kuo extract</t>
  </si>
  <si>
    <t>G/SPS/N/CHN/660</t>
  </si>
  <si>
    <t>National Food Safety Standard: Food Additives Aspartame-acesulfame Salt</t>
  </si>
  <si>
    <t>This food safety standard specifies the technical requirements and analysis methods for the food additives aspartame-acesulfame salt. This food safety standard applies to the food additives aspartame-acesulfame salt  which is produced by reaction  centrifugation  desiccation of aspartame and acesulfame salt as raw materials according to certain proportion.</t>
  </si>
  <si>
    <t>Food additives aspartame-acesulfame salt</t>
  </si>
  <si>
    <t>G/SPS/N/CHN/685</t>
  </si>
  <si>
    <t>National Food Safety Standard: Code of Hygienic Practice for Radiation Processing of Food</t>
  </si>
  <si>
    <t>This code of hygienic practice applies to the radiation processing of food.</t>
  </si>
  <si>
    <t>Irradiated food</t>
  </si>
  <si>
    <t>G/SPS/N/CHN/684</t>
  </si>
  <si>
    <t>National Food Safety Standard: Food nutritional fortifier Galacto-oligosaccharide</t>
  </si>
  <si>
    <t>This standard applies to the food additive galacto-oligosaccharide (GOS) produced from lactose by enzymatic conversion. The trans-glycosylation of lactose by the activity of a â-Galactosidase enzyme derived from the Bacillus Circulans and other microbe bacterials mentioned in the Standard GB 2760. It specifies the technical requirements and testing methods for the food nutritional fortifier galacto-oligosaccharide (GOS).</t>
  </si>
  <si>
    <t>Food nutritional fortifier Galacto-oligosaccharide</t>
  </si>
  <si>
    <t>G/SPS/N/CHN/683</t>
  </si>
  <si>
    <t>National Food Safety Standard: Food Additive Diethyl ether</t>
  </si>
  <si>
    <t xml:space="preserve">This standard applies to the food additive diethyl ether distilled from dehydrated ethanol or ethylene through sulfuric acid. It specifies the technical requirements and testing methods for the food additive diethyl ether. </t>
  </si>
  <si>
    <t>Food additive Diethyl ether</t>
  </si>
  <si>
    <t>G/SPS/N/CHN/682</t>
  </si>
  <si>
    <t>National Food Safety Standard: Food additive n-Butanol (1-butanol)</t>
  </si>
  <si>
    <t>This standard applies to the food additive n-Butanol (1-butanol) made from fermentation method and synthetic method.</t>
  </si>
  <si>
    <t>Food additive n-Butanol (1-butanol)</t>
  </si>
  <si>
    <t>G/SPS/N/CHN/681</t>
  </si>
  <si>
    <t>National Food Safety Standard: Food Additive Butane</t>
  </si>
  <si>
    <t>The standard applied to the food additive butane that is distilled  absorbed in oil or frozen from natural gas.</t>
  </si>
  <si>
    <t>Food additive Butane</t>
  </si>
  <si>
    <t>G/SPS/N/CHN/680</t>
  </si>
  <si>
    <t>National Food Safety Standard: Food additive Propane</t>
  </si>
  <si>
    <t>The standard applied to the food additive propane that is distilled  absorbed in oil or frozen from natural gas.</t>
  </si>
  <si>
    <t>Food additive Propane</t>
  </si>
  <si>
    <t>G/SPS/N/CHN/679</t>
  </si>
  <si>
    <t>National Food Safety Standard: Food additive Petroleum ether</t>
  </si>
  <si>
    <t>This standard applies to the food additive petroleum ether that is a distillation fraction from natural petroleum. It specifies the technical requirements and testing methods for the food additive petroleum ether. The specified product contains mixed paraffinic (normal and iso) and cycloparaffinic hydrocarbons boiling between 25 and 105°.</t>
  </si>
  <si>
    <t>Food additive Petroleum ether</t>
  </si>
  <si>
    <t>G/SPS/N/CHN/678</t>
  </si>
  <si>
    <t>National Food Safety Standard: Food Additive Adipic Acid</t>
  </si>
  <si>
    <t>The product "Adipic Acid" refers to the oxidation of cyclohexane that first creates cyclohexanol and cyclohexanone  and then oxidized with nitrate  crystallized and refined to create the final product adipic acid.</t>
  </si>
  <si>
    <t>Food additive Adipic Acid</t>
  </si>
  <si>
    <t>G/SPS/N/CHN/677</t>
  </si>
  <si>
    <t>National Food Safety Standard: Food Additive Capryl monoglyceride</t>
  </si>
  <si>
    <t>This standard is applicable to the food additive Capryl monoglyceride which is produced and refined by reaction of octanoic acid with glycerol.</t>
  </si>
  <si>
    <t>Food additive Capryl monoglyceride</t>
  </si>
  <si>
    <t>G/SPS/N/CHN/676</t>
  </si>
  <si>
    <t>National Food Safety Standard: Food additive solvent No. 6 (hexanes)</t>
  </si>
  <si>
    <t>The product "solvent No. 6" refers to the refined petroleum hydrocarbon distillation fraction that contains a high proportion of hexane.</t>
  </si>
  <si>
    <t>Food additive solvent No. 6 (hexanes)</t>
  </si>
  <si>
    <t>G/SPS/N/CHN/675</t>
  </si>
  <si>
    <t>National Food Safety Standard: Food additive Caramel colour (plain  caustic sulfite  ammonia  sulfite ammonia)</t>
  </si>
  <si>
    <t>This standard applies to the food additive caramel colour produced from sucrose  starch syrup  xylose mother liquor as raw materials. It specifies the technical requirements and testing methods for four classes of the food additive caramel colour including plain caramel  caustic sulfite caramel  ammonia caramel and sulfite ammonia caramel.</t>
  </si>
  <si>
    <t>Food additive caramel colour (plain  caustic sulfite  ammonia  sulfite ammonia)</t>
  </si>
  <si>
    <t>G/SPS/N/CHN/674</t>
  </si>
  <si>
    <t>National Food Safety Standard: Food additive Bentonite</t>
  </si>
  <si>
    <t>This standard applies to the food additive bentonite obtained from bentonite deposit  mainly used as oil filter agent. It specifies the technical requirements and testing methods for the food additive bentonite.</t>
  </si>
  <si>
    <t>Food additive Bentonite</t>
  </si>
  <si>
    <t>G/SPS/N/CHN/673</t>
  </si>
  <si>
    <t>National Food Safety Standard: Food additive magnesium silicate</t>
  </si>
  <si>
    <t>This standard applies to the food additive magnesium silicate obtained by precipitation reaction of sodium silicate and soluble magnesium salt. It specifies the technical requirements and testing methods for the food additive magnesium silicate.</t>
  </si>
  <si>
    <t>Food additive magnesium silicate</t>
  </si>
  <si>
    <t>G/SPS/N/CHN/672</t>
  </si>
  <si>
    <t>National Food Safety Standard: Food additive Curcumin</t>
  </si>
  <si>
    <t xml:space="preserve">This standard applies to the food additive curcumin obtained from rhizome of Zingiberaceae Curcuma Longa L. with solvent extraction. It specifies the technical requirements and testing methods for the food additive curcumin. </t>
  </si>
  <si>
    <t>Food additive Curcumin</t>
  </si>
  <si>
    <t>G/SPS/N/CHN/671</t>
  </si>
  <si>
    <t>National Food Safety Standard: Food Additive Turmeric</t>
  </si>
  <si>
    <t>This standard applies to the food additive turmeric obtained from rhizome of Zingiberaceae Curcuma Longa L. with solvent extraction. It specifies the technical requirements and testing methods for the food additive turmeric.</t>
  </si>
  <si>
    <t>Food additive Turmeric</t>
  </si>
  <si>
    <t>G/SPS/N/CHN/670</t>
  </si>
  <si>
    <t>National Food Safety Standard: Food Additive Carthamins yellow</t>
  </si>
  <si>
    <t>This standard applies to the food additive carthamins yellow obtained by water extracting from the petals of Carthamus tinctorius L. with the specified purification. The standard specifies the technical requirements and testing methods for the food additive carthamins yellow.</t>
  </si>
  <si>
    <t>Food additive Carthamins yellow</t>
  </si>
  <si>
    <t>G/SPS/N/CHN/669</t>
  </si>
  <si>
    <t>National Food Safety Standard: Food additive galactomannan</t>
  </si>
  <si>
    <t>This standard applies to the food additive galactomannan which uses endosperm of guar [Cyamops tetragonolobus (L.) Taub] or guar gum as raw material and obtained by enzymatic hydrolysis of á-galactomannanase and hemicellulase  purification processing.</t>
  </si>
  <si>
    <t>Food additive galactomannan</t>
  </si>
  <si>
    <t>G/SPS/N/CHN/668</t>
  </si>
  <si>
    <t>National Food Safety Standard: Food additive L-cysteine and its hydrochlorides sodium and potassium salts</t>
  </si>
  <si>
    <t>This standard applies to the food additive of L-cysteine hydrochloride which uses hair and feather as raw materials by hydrolysis or uses starch as raw material according fermentation by Eschorichia Coli K-12.</t>
  </si>
  <si>
    <t>Food additive L-cysteine and its hydrochlorides sodium and potassium salts</t>
  </si>
  <si>
    <t>G/SPS/N/CHN/667</t>
  </si>
  <si>
    <t>National Food Safety Standard: Food Additive Potassium Citrate</t>
  </si>
  <si>
    <t>This standard applies to the food additive potassium citrate which uses citric acid  potassium hydroxide or potassium carbonate as raw materials.</t>
  </si>
  <si>
    <t>Food additive potassium citrate</t>
  </si>
  <si>
    <t>G/SPS/N/CHN/666</t>
  </si>
  <si>
    <t>National Food Safety Standard: Food Additive Insoluble Polyvinylpolypyrrolidone</t>
  </si>
  <si>
    <t>This standard applies to food additive Insoluble Polyvinylpolypyrrolidone cross-linked in a random fashion produced by the polymerization of N-vinyl-2-pyrrolidone in the presence of either caustic catalyst or N N'-divinyl-imidazolidone. It specifies the technical requirements and testing methods for food additive Insoluble Polyvinylpolypyrrolidone.</t>
  </si>
  <si>
    <t>Food additive Insoluble Polyvinylpolypyrrolidone</t>
  </si>
  <si>
    <t>G/SPS/N/BRA/963</t>
  </si>
  <si>
    <t>Draft resolution regarding the active ingredient DIMETHOMORPH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</si>
  <si>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pumpkin (0.1mg/kg safety security period of 7 days)  zucchini (0.1mg/kg safety security period of 7 days)  watercress (2.0mg/kg safety security period of 7 days)  lettuce (2.0mg/kg safety security period of 7 days)  garlic (0.2mg/kg safety security period of 14 days)  chicory (2.0mg/kg safety security period of 7 days)  potato (0.03mg/kg safety security period of 7 days)  eggplant (0.2mg/kg safety security period of 7 days)  onion (0.2mg/kg safety security period of 14 days)  spinach (2.0mg/kg safety security period of 7 days)  guarana (0.7mg/kg safety security period of 7 days)  scarlet eggplant (0.2mg/kg safety security period of 7 days)  papaya (0.7mg/kg safety security period of 7 days)  passion fruit (0.7mg/kg safety security period of 7 days)  melon (0.03mg/kg safety security period of 14 days)  cucumber (0.1mg/kg safety security period of 7 days)  pepper (0.2mg/kg safety security period of 7 days)  green pepper (0.2mg/kg safety security period of 7 days)  rose (non-food use)  arugula (2.0mg/kg safety security period of 7 days)  tomato (0.03mg/kg safety security period of 7 days)  grape (2.0mg/kg safety security period of 21 days).</t>
  </si>
  <si>
    <t>Foliar application in cultures of pumpkin (0.1mg/kg safety security period of 7 days)  zucchini (0.1mg/kg safety security period of 7 days)  watercress (2.0mg/kg safety security period of 7 days)  lettuce (2.0mg/kg safety security period of 7 days)  garlic (0.2mg/kg safety security period of 14 days)  chicory (2.0mg/kg safety security period of 7 days)  potato (0.03mg/kg safety security period of 7 days)  eggplant (0.2mg/kg safety security period of 7 days)  onion (0.2mg/kg safety security period of 14 days)  spinach (2.0mg/kg safety security period of 7 days)  guarana (0.7mg/kg safety security period of 7 days)  scarlet eggplant (0.2mg/kg safety security period of 7 days)  papaya (0.7mg/kg safety security period of 7 days)  passion fruit (0.7mg/kg safety security period of 7 days)  melon (0.03mg/kg safety security period of 14 days)  cucumber (0.1mg/kg safety security period of 7 days)  pepper (0.2mg/kg safety security period of 7 days)  green pepper (0.2mg/kg safety security period of 7 days)  rose (non-food use)  arugula (2.0mg/kg safety security period of 7 days)  tomato (0.03mg/kg safety security period of 7 days)  grape (2.0mg/kg safety security period of 21 days)</t>
  </si>
  <si>
    <t>G/SPS/N/BRA/967</t>
  </si>
  <si>
    <t>Draft resolution regarding the active ingredient AZOXYSTROBIN of the monograph list of active ingredients for pesticides  household cleaning products and wood preservers  published by Resolution - RE n° 165 of 29 August 2003  Brazilian Official Gazette (DOU Diário Oficial da União) of 2 September 2003</t>
  </si>
  <si>
    <t>G/SPS/N/BRA/965</t>
  </si>
  <si>
    <t>Draft resolution regarding the active ingredient CARFENTRAZONE-ETHYL of the monograph list of active ingredients for pesticides  household cleaning products and wood preservers  published by Resolution - RE n° 165 of 29 August 2003  Brazilian Official Gazette (DOU Diário Oficial da União) of 2 September 2003</t>
  </si>
  <si>
    <t>Post-emergency application in cultures of cotton (0.1mg/kg safety security period of 8 days)  rice (0.02mg/kg safety security period of 66 days)  potato (0.02mg/kg safety security period of 10 days)  coffee (0.05mg/kg safety security period of 15 days)  sugarcane (0.05mg/kg safety security period of 6 days)  citrus (0.05mg/kg safety security period of 15 days)  eucalyptus (non-food use)  cassava (0.02mg/kg safety security period of 10 days)  corn (0.05mg/kg safety security period of 84 days)  soy (0.1mg/kg safety security period not determined when the pesticide is applied in post-emergency of weeds and in pre-planting of the culture. The safety security period is 30 days when the pesticide is applied in post-emergency of weeds and of the culture). Pre-emergency application in cultures of melon (0.05mg/kg safety security period not determined due to the mode of use). Desiccant application in cultures of cotton (0.1mg/kg safety security period of 8 days)  potato (0.02mg/kg safety security period of 10 days). Maturator application in cultures of sugarcane (0.05mg/kg safety security period of 6 days).</t>
  </si>
  <si>
    <t xml:space="preserve">Post-emergency application in cultures of cotton (0.1mg/kg safety security period of 8 days)  rice (0.02mg/kg safety security period of 66 days)  potato (0.02mg/kg safety security period of 10 days)  coffee (0.05mg/kg safety security period of 15 days)  sugarcane (0.05mg/kg safety security period of 6 days)  citrus (0.05mg/kg safety security period of 15 days)  eucalyptus (non-food use)  cassava (0.02mg/kg safety security period of 10 days)  corn (0.05mg/kg safety security period of 84 days)  soy (0.1mg/kg safety security period not determined when the pesticide is applied in post-emergency of weeds and in pre-planting of the culture. The safety security period is 30 days when the pesticide is applied in post-emergency of weeds and of the culture). Pre-emergency application in cultures of melon (0.05mg/kg safety security period not determined due to the mode of use). Desiccant application in cultures of cotton (0.1mg/kg safety security period of 8 days)  potato (0.02mg/kg safety security period of 10 days). Maturator application in cultures of sugarcane (0.05mg/kg safety security period of 6 days).   </t>
  </si>
  <si>
    <t>G/SPS/N/BRA/964</t>
  </si>
  <si>
    <t>Draft resolution regarding the active ingredient CYAZOFAMID of the monograph list of active ingredients for pesticides  household cleaning products and wood preservers  published by Resolution - RE n° 165 of 29 August 2003  Brazilian Official Gazette (DOU Diário Oficial da União) of 2 September 2003</t>
  </si>
  <si>
    <t>Foliar application in cultures of lettuce (0.2mg/kg safety security period of 7 days)  potato (0.05mg/kg safety security period of 7 days)  broccoli (0.1mg/kg safety security period of 28 days)  onion (0.1mg/kg safety security period of 7 days)  Chinese cabbage (0.1mg/kg safety security period of 28 days)  cauliflower (0.1mg/kg safety security period of 28 days)  melon (0.1mg/kg safety security period of 7 days)  cabbage (0.1mg/kg safety security period of 28 days)  rose (non-food use)  tomato (0.05mg/kg safety security period of 1 day)  grape (0.5mg/kg safety security period of 7 days).</t>
  </si>
  <si>
    <t>Foliar application in cultures of lettuce (0.2mg/kg safety security period of 7 days)  potato (0.05mg/kg safety security period of 7 days)  broccoli (0.1mg/kg safety security period of 28 days)  onion (0.1mg/kg safety security period of 7 days)  Chinese cabbage (0.1mg/kg safety security period of 28 days)  cauliflower (0.1mg/kg safety security period of 28 days)  melon (0.1mg/kg safety security period of 7 days)  cabbage (0.1mg/kg safety security period of 28 days)  rose (non-food use)  tomato (0.05mg/kg safety security period of 1 day)  grape (0.5mg/kg safety security period of 7 days)</t>
  </si>
  <si>
    <t>G/SPS/N/CHN/659</t>
  </si>
  <si>
    <t>National Food Safety Standard: Food Additive Dimethyl Carbonate</t>
  </si>
  <si>
    <t>This standard specifies the technical requirements and test methods of the food additive dimethyl carbonate.</t>
  </si>
  <si>
    <t>Food additive dimethyl carbonate</t>
  </si>
  <si>
    <t>G/SPS/N/CHN/658</t>
  </si>
  <si>
    <t>National Food Safety Standard: Food Additive Tripotassium Glycyrrhizinate</t>
  </si>
  <si>
    <t xml:space="preserve">The standard is applicable for the food additive of tripotassium glycyrrhizinate  which is acquired after extraction  concentration  alkali and dry from the root portion of Glycyrrhiza uralensis Fisch  Glycyrrhiza inflate Bat. and Glycyrrhiza glabra L. The standard specifies the specifications of appearance and physics-chemistry. </t>
  </si>
  <si>
    <t>Food additive Tripotassium Glycyrrhizinate</t>
  </si>
  <si>
    <t>G/SPS/N/CHN/657</t>
  </si>
  <si>
    <t>National Food Safety Standard: Food Additive Gleditsia Sinensis Lam Gum</t>
  </si>
  <si>
    <t>The standard is applicable for the food additive of gleditsia sinensis lam gum  which is acquired after water soaking  crushing  and dry from the seeds of Gleditsia sinensis Lam. The standard specifies the specifications of appearance  physics-chemistry and microbiology.</t>
  </si>
  <si>
    <t>Food additive gleditsia sinensis lam gum</t>
  </si>
  <si>
    <t>G/SPS/N/CHN/656</t>
  </si>
  <si>
    <t>National Food Safety Standard: Instant Noodles</t>
  </si>
  <si>
    <t>This standard concerns instant noodles. This standard contains the terms and definitions  technical requirements etc.</t>
  </si>
  <si>
    <t>Instant noodles</t>
  </si>
  <si>
    <t>G/SPS/N/CHN/655</t>
  </si>
  <si>
    <t>National Food Safety Standard: Food Grade Salt</t>
  </si>
  <si>
    <t>This standard applies to food grade salt  including low sodium salt.</t>
  </si>
  <si>
    <t>G/SPS/N/CHN/654</t>
  </si>
  <si>
    <t>National Food Safety Standard: Food Starch</t>
  </si>
  <si>
    <t>This standard applies to edible starch provided directly and indirectly to consumers.</t>
  </si>
  <si>
    <t>Food starch</t>
  </si>
  <si>
    <t>G/SPS/N/VNM/59</t>
  </si>
  <si>
    <t>Circular for guiding on the food safety control for imported foodstuffs of plant origin</t>
  </si>
  <si>
    <t>The Circular provides regulations/principles for food safety control on imported foodstuffs of plant origin  including procedure of exported country registration before exporting commodities into Viet Nam  on-site inspection procedure (when necessary) as well as procedure for inspecting consignments of foodstuffs of plant origin imported into Viet Nam. This Circular will replace the Circular No.13/2011/TT-BNNPTNT dated 16 March 2011 and Circular No.05/2013/TT-BNNPTNT dated 21 January 2013.</t>
  </si>
  <si>
    <t xml:space="preserve"> HS codes: 08  07 </t>
  </si>
  <si>
    <t>G/SPS/N/KOR/482</t>
  </si>
  <si>
    <t>1) The standards and specifications of the following three food additives are newly established: Ammonium phosphatides  polyethylene glycol (PEG) and calcium caseinate. 2) The 'General provision' and the 'Standards for manufacturing and preparation' are revised. 3) The specifications of the following 51 food additives are revised: Brilliant blue FCF  ferrous fumarate  magnesium silicate  synthetic flavoring substances  Kuk  B-glucanase  glucoamylase  glucose oxidase  glucose isomerase  diastase  lactase  lysozyme  lipase  cellulase  a-amylase  alginic acid  milk clotting enzyme  inveratase  Jongkuk  caramel color  catalase  trypsin  pectinase  pepsin  pullulanase  protease  hemicellulase  yeast  yeast extract  dextranase  maltogenic amylase  exomaltotetrahydrolase  transglucosidase  phospholipase  chitosanase  sesame seed oil unsaponified matter  transglutaminase  pancreatin  maltotriohydrolase  tannase  a-galactosidase  B-glycosidase  glutaminase  asparaginase  a-acetolactate decarboxylase  xylanase  5'-deaminase  a-glucosidase  phosphodiesterase  urease  mixed preparations for noodles. 4) The standards for the use of the following 13 food additives are revised: Sodium metabisulfite  potassium metabisulfite  sulfur dioxide  sodium bisulfite  sodium sulfite  sodium hydrosulfite  sodium saccharin  acesulfame potassium  aspartame  sucralose  zinc sulfate  chlorine dioxide  hydrogen. 5) The provisions of 'Standards for manufacturing and preparation' relevant to a food contact surface-sanitizing solutions are revised. Also nitric acid is added to the list of ingredients available to use in of food contact surface-sanitizing solutions.</t>
  </si>
  <si>
    <t>G/SPS/N/KOR/481</t>
  </si>
  <si>
    <t>The proposed draft amendments seek to: 1) Clarify provision for synthetic resin coated metal and wood  2) Improve the preparation temperature of test solutions for migration test from 60'c to 70'c (the generally used temperature is more than 70'c)  - If the food stimulant is water or 4% acetic acid  the temperature is changed from 95'c to 100'c  3) Change the food simulant for arsenic test from water to 4% acetic acid for synthetic resin  wood and starch  4) Exclude 50% ethanol from the food stimulant (water  4% acetic acid  5% ethanol and n-haptane) used in migration tests for utensils that can be used for all food  5) Establish the specification of acetyldehyde(6mg/L) for Polyethyleneterephthalate (PET) along with relevant test methods  6) For suspected hazardous materials without specifications  newly establish regulations so that they are tentatively applied with specification pertinent to other synthetic resins  7) Replace the term of "non-volatile residue" into "overall migration" and reconstitute tables listing the specifications for glass  ceramic  porcelain enamel and pottery.</t>
  </si>
  <si>
    <t>Contaminants  Food safety  Heavy metals  Human health  Packaging</t>
  </si>
  <si>
    <t>G/SPS/N/VNM/57</t>
  </si>
  <si>
    <t>National technical regulation on food flavouring agents</t>
  </si>
  <si>
    <t>Draft national technical regulation on requirements  testing method  management of food flavouring agents as follows: 1. Lemon and Orange flavour  2. Peach flavour  3. Strawberry flavour  4. Coconut flavour  5. Woody flavour  6. Smoky flavour  7. Mushroom flavour  8. Popcorn flavour  9. Jasmine flavour  10. Chocolate flavour  11. Vanilla flavour  12. Apple flavour.</t>
  </si>
  <si>
    <t>G/SPS/N/KOR/480</t>
  </si>
  <si>
    <t>The proposed amendment seeks to: 1. Establish and revise the maximum residue limits of pesticides in foods:  - 82 pesticides including glufosinate and so forth in sesame  pumpkin  etc.   - For nut seeds (coffee  peanuts  etc.) and tropical fruits (banana  mango  etc.) that do not have MRL standard  a uniform standard of 0.01 mg/kg will be applied  2. Permit big-belly seahorse (Hippocampus abdominalis) to be used as raw material in food with limited use  3. Classify echinoderms and tunicates as molluscs and deletes the exclusion of inshore hagfish and marbled rockfish in the category of abyssal fish  4. Relocate the standard sugar content (Brix) for 100% extract of fruits and vegetables used in beverages from its current position under Article 5. 18-1. 2) to Article 1.1  "general Principle"  5. Revise general testing method:  - Revise the method for tetrodotoxin  paralytic shellfish poison and pesticide multi-residues analysis   - Establish the test method for unapproved genetically modified wheat.</t>
  </si>
  <si>
    <t xml:space="preserve"> HS codes: 1001 </t>
  </si>
  <si>
    <t>G/SPS/N/BRA/959</t>
  </si>
  <si>
    <t>Draft resolution regarding the active ingredient BUPROFEZIN of the monograph list of active ingredients for pesticides  household cleaning products and wood preservers  published by Resolution - RE n°165 of 29 August 2003  Brazilian Official Gazette (DOU Diário Oficial da União) of 2 September 2003 Inclusion of the cultures of avocado  pineapple  pumpkin  zucchini  annonaceous  cocoa  chayote  cupuassu  guarana  kiwifruit  papaya  mango  passion fruit  west Indian gherkin  watermelon and pomegranate (0.3mg/kg safety security period of 7 days)  and inclusion of the cultures of eggplant  scarlet eggplant  pepper  green pepper and okra (0.5mg/kg safety security period of 7 days)  all in foliar application</t>
  </si>
  <si>
    <t>Foliar application in cultures of avocado (0.3mg/kg safety security period of 7 days)  pineapple (0.3mg/kg safety security period of 7 days)  pumpkin (0.3mg/kg safety security period of 7 days)  zucchini (0.3mg/kg safety security period of 7 days)  cotton (0.05mg/kg safety security period of 21 days)  annonaceous (0.3mg/kg safety security period of 7 days)  begonia (non-food use)  eggplant (0.5mg/kg safety security period of 7 days)  cocoa (0.3mg/kg safety security period of 7 days)  citrus (0.3mg/kg safety security period of 7 days)  chayote (0.3mg/kg safety security period of 7 days)  cupuassu (0.3mg/kg safety security period of 7 days)  bean (0.05mg/kg safety security period of 21 days)  gerbera (non-food use)  guarana (0.3mg/kg safety security period of 7 days)  scarlet eggplant (0.5mg/kg safety security period of 7 days)  kiwifruit (0.3mg/kg safety security period of 7 days)  papaya (0.3mg/kg safety security period of 7 days)  mango (0.3mg/kg safety security period of 7 days)  passion fruit (0.3mg/kg safety security period of 7 days)  west Indian gherkin (0.3mg/kg safety security period of 7 days)  watermelon (0.3mg/kg safety security period of 7 days)  melon (0.3mg/kg safety security period of 7 days)  cucumber (0.3mg/kg safety security period of 7 days)  pepper (0.5mg/kg safety security period of 7 days)  green pepper (0.5mg/kg safety security period of 7 days)  okra (0.5mg/kg safety security period of 7 days)  pomegranate (0.3mg/kg safety security period of 7 days)  soy (0.02mg/kg safety security period of 20 days)  tomato (0.5mg/kg safety security period of 7 days)</t>
  </si>
  <si>
    <t>G/SPS/N/BRA/958</t>
  </si>
  <si>
    <t>Draft resolution regarding the active ingredient CHLORFENAPYR of the monograph list of active ingredients for pesticides  household cleaning products and wood preservers  published by Resolution - RE n°165 of 29 August 2003  Brazilian Official Gazette (DOU Diário Oficial da União) of 2 September 2003 Inclusion of the culture of eucalyptus (non-food use) in foliar application</t>
  </si>
  <si>
    <t>Foliar application in cultures of acerola (2.0mg/kg safety security period of 7 days)  cotton (0.3mg/kg safety security period of 21 days)  garlic (0.5mg/kg safety security period of 14 days)  mulberry (2.0mg/kg safety security period of 7 days)  potato (0.05mg/kg safety security period of 7 days)  onion (0.05mg/kg safety security period of 14 days)  citrus (0.5mg/kg safety security period of 14 days)  cabbage (1.0mg/kg safety security period of 14 days)  chrysanthemum (non-food use)  eucalyptus (non-food use)  bean (0.1mg/kg safety security period of 14 days)  raspberry (2.0mg/kg safety security period of 7 days)  papaya (0.1mg/kg safety security period of 14 days)  passion fruit (0.05mg/kg safety security period of 14 days)  watermelon (0.05mg/kg safety security period of 14 days)  melon (0.05mg/kg safety security period of 14 days)  corn (0.05mg/kg safety security period of 45 days)  strawberry (2.0mg/kg safety security period of 7 days)  green pepper (0.3mg/kg safety security period of 14 days)  Surinam cherry (2.0mg/kg safety security period of 7 days)  cabbage (0.2mg/kg safety security period of 7 days)  rose (non-food use)  tomato (0.2mg/kg safety security period of 7 days)</t>
  </si>
  <si>
    <t>G/SPS/N/BRA/957</t>
  </si>
  <si>
    <t>Draft resolution regarding the active ingredient PYMETROZINE of the monograph list of active ingredients for pesticides  household cleaning products and wood preservers  published by Resolution - RE n°165 of 29 August 2003  Brazilian Official Gazette (DOU Diário Oficial da União) of 2 September 2003 Inclusion of the culture of cucumber (0.05mg/kg safety security period of 3 days) in foliar application</t>
  </si>
  <si>
    <t>Foliar application in cultures of lettuce (0.7mg/kg safety security period of 5 days)  cotton (0.1mg/kg safety security period of 7 days)  potato (0.01mg/kg safety security period of 3 days)  cabbage (0.1mg/kg safety security period of 5 days)  tobacco (non-food use)  melon (0.05mg/kg safety security period of 3 days)  cucumber (0.05mg/kg safety security period of 3 days)  tomato (0.1mg/kg safety security period of 3 days).</t>
  </si>
  <si>
    <t>G/SPS/N/EU/13/Add.6</t>
  </si>
  <si>
    <t>Food additives (ICS Code:  67.220.20)</t>
  </si>
  <si>
    <t>G/SPS/N/EU/63/Add.1</t>
  </si>
  <si>
    <t xml:space="preserve"> HS codes: 1005  0210  0207  1007  0204  1002  0205  1008  0202  0203  1003  1004  0201  0208  0209  1001  1006  0206 </t>
  </si>
  <si>
    <t>G/SPS/N/EU/53/Add.1</t>
  </si>
  <si>
    <t>Cereals (HS Codes: 1001  1002  1003  1004  1005 1006  1007  1008)  foodstuffs of animal origin (HS Codes: 0201  0202  0203  0204 0205  0206  0207  0208  0209  0210) and certain products of plant origin  including fruit and vegetables</t>
  </si>
  <si>
    <t xml:space="preserve"> HS codes: 0202  0209  0206  1003  0208  1001  0201  1008  1002  1006  0204  0205  0210  0207  0203  1004  1007  1005 </t>
  </si>
  <si>
    <t>G/SPS/N/EU/93</t>
  </si>
  <si>
    <t>Annexes to "Draft Commission Regulation amending Annexes II  III and V to Regulation (EC) No 396/2005 of the European Parliament and of the Council as regards maximum residue levels for 1 3-dichloropropene  bifenox  dimethenamid-P  prohexadione  tolylfluanid and trifluralin in or on certain products" (Text with EEA relevance)</t>
  </si>
  <si>
    <t>These notified annexes to the draft Regulation set proposed maximum residue levels (MRLs) for 1 3-dichloropropene  bifenox  dimethenamid-P  prohexadione  tolylfluanid and trifluralin in Annexes 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</si>
  <si>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0203  0210  1001  0206  1002  1008  1006  1004  0201  0205  0204  1007  0209  0208  0207  0202  1005  1003 </t>
  </si>
  <si>
    <t>G/SPS/N/CAN/613/Rev.1/Add.6</t>
  </si>
  <si>
    <t>All food for human consumption</t>
  </si>
  <si>
    <t>G/SPS/N/CAN/806/Add.1</t>
  </si>
  <si>
    <t>Pesticide halosulfuron-methyl in or on various food commodities (ICS Codes: 65.020  65.100  67.060  67.080  67.100  67.120)</t>
  </si>
  <si>
    <t>G/SPS/N/CAN/700/Rev.1/Add.1</t>
  </si>
  <si>
    <t xml:space="preserve"> HS codes: 16  19  67  68  22  12 </t>
  </si>
  <si>
    <t>G/SPS/N/EU/61/Add.1</t>
  </si>
  <si>
    <t>G/SPS/N/BRA/956</t>
  </si>
  <si>
    <t>Draft resolution regarding the active ingredient THIOPHANATE-METHYL of the monograph list of active ingredients for pesticides  household cleaning products and wood preservers  published by Resolution - RE n° 165 of 29 August 2003  Brazilian Official Gazette (DOU Diário Oficial da União) of 2 September 2003 Inclusion of the culture of eucalyptus (non-food use) in foliar application</t>
  </si>
  <si>
    <t>G/SPS/N/BRA/955</t>
  </si>
  <si>
    <t>Draft resolution regarding the active ingredient FLUTRIAFOL of the monograph list of active ingredients for pesticides  household cleaning products and wood preservers  published by Resolution - RE n° 165 of 29 August 2003  Brazilian Official Gazette (DOU Diário Oficial da União) of 2 September 2003 Inclusion of the culture of eucalyptus (non-food use) in foliar application</t>
  </si>
  <si>
    <t>G/SPS/N/BRA/954</t>
  </si>
  <si>
    <t>Draft resolution regarding the active ingredient BOSCALID of the monograph list of active ingredients for pesticides  household cleaning products and wood preservers  published by Resolution - RE n° 165 of 29 August 2003  Brazilian Official Gazette (DOU Diário Oficial da União) of 2 September 2003 Inclusion of cultures of lettuce (11mg/kg and safety security period of 3 days)  bean (0.01mg/kg and safety security period of 14 days)  strawberry (5mg/kg and safety security period of 1 day) and pepper (0.5mg/kg and safety security period of 3 days)  in foliar application  and alteration of the Maximum Residue Limit (MRL) to the culture of melon from 0.05mg/kg to 0.5mg/kg  keeping the safety security period of 7 days</t>
  </si>
  <si>
    <t xml:space="preserve">Foliar application in cultures of lettuce (11.0mg/kg safety security period of 3 days)  garlic (0.05mg/kg safety security period of 7 days)  potato (0.05mg/kg safety security period of 3 days)  coffee (0.05mg/kg safety security period of 45 days)  onion (0.05mg/kg safety security period of 7 days)  carrot (0.05mg/kg safety security period of 7 days)  chrysanthemum (non-food use)  bean (0.01mg/kg safety security period of 14 days)  melon (0.5mg/kg safety security period of 7 days)  strawberry (5.0mg/kg safety security period of 1 day)  cucumber (0.05mg/kg safety security period of 7 days)  pepper (0.5mg/kg safety security period of 3 days)  rose (non-food use)  tomato (0.05mg/kg safety security period of 1 day)  grape (3.0mg/kg safety security period of 21 days).  </t>
  </si>
  <si>
    <t>Foliar application in cultures of lettuce (11.0mg/kg safety security period of 3 days)  garlic (0.05mg/kg safety security period of 7 days)  potato (0.05mg/kg safety security period of 3 days)  coffee (0.05mg/kg safety security period of 45 days)  onion (0.05mg/kg safety security period of 7 days)  carrot (0.05mg/kg safety security period of 7 days)  chrysanthemum (non-food use)  bean (0.01mg/kg safety security period of 14 days)  melon (0.5mg/kg safety security period of 7 days)  strawberry (5.0mg/kg safety security period of 1 day)  cucumber (0.05mg/kg safety security period of 7 days)  pepper (0.5mg/kg safety security period of 3 days)  rose (non-food use)  tomato (0.05mg/kg safety security period of 1 day)  grape (3.0mg/kg safety security period of 21 days)</t>
  </si>
  <si>
    <t>G/SPS/N/AUS/342</t>
  </si>
  <si>
    <t>2nd call for submissions for Proposal P1025 Code Revision</t>
  </si>
  <si>
    <t>The Proposal seeks to modernise how the Australia New Zealand Food Standards Code (the Code) is presented to create an instrument that better meets the needs of a very broad range of stakeholders in industry  commerce and enforcement and improves the Codes efficacy. For example: - It more clearly presents requirements that impose an obligation in relation to the conduct of a food business or the sale of food  or relating to the composition of food or labelling  - Other changes modify or add definitions and alter the structure of the Code to improve navigation or to address problems of expression  - Compositional requirements that combined definitional and requirement elements have been revised to separate the elements - There is a greater reliance on definitions already present in the food acts of Australia's states and territories  The Proposal will not significantly alter the effect of current provisions that impose requirements or obligations.</t>
  </si>
  <si>
    <t>G/SPS/N/TPKM/312/Add.1</t>
  </si>
  <si>
    <t>Infant food</t>
  </si>
  <si>
    <t>G/SPS/N/EU/54/Add.1</t>
  </si>
  <si>
    <t>G/SPS/N/KOR/478</t>
  </si>
  <si>
    <t>Proposed Amendments to the Standards and Specifications for Health Functional Foods</t>
  </si>
  <si>
    <t>The proposed amendment seeks to: 1. Clarify the time period in which an additional health claim information may be added for functional ingredients:  - Additional health claim information of functional ingredients listed in the notification may be added one year after their recognition as functional ingredients. 2. Amend the list of unusable raw materials when manufacturing health functional foods:  - Endangered species of wild fauna and flora cannot be used when manufacturing health functional foods.  3. Amend the name of a functional ingredient:  - Change 'omega-3 fatty acid oil' to 'EPA and DHA containing oil'. 4. Establish and revise  test methods for functional ingredients:  - Poly-ã-glutamic acid  Hyaluronic acid  Rosavin  Anthocyanosides  Alliin  Vitamin E and Fiber.</t>
  </si>
  <si>
    <t>Health/functional foods</t>
  </si>
  <si>
    <t>G/SPS/N/EU/87</t>
  </si>
  <si>
    <t>Annexes to "Draft Commission Regulation amending Annexes II  III and V to Regulation (EC) No 396/2005 of the European Parliament and of the Council as regards maximum residue levels for several substances in or on certain products" (Text with EEA relevance)</t>
  </si>
  <si>
    <t>These notified annexes to the draft Regulation set proposed maximum residue levels (MRLs) for 27 substances. MRLs for these substances are lowered in certain commodities. Lower MRLs are set after updating the limit of determinations and/or deleting old uses which are not authorised any more in the European Union or for which a human health concern may not be excluded.</t>
  </si>
  <si>
    <t xml:space="preserve"> HS codes: 0208  0209  0202  0207  0204  1007  0201  0205  1004  1008  1002  0206  1001  0203  0210  1006  1003  1005 </t>
  </si>
  <si>
    <t>G/SPS/N/EU/84</t>
  </si>
  <si>
    <t>Annexes to "Draft Regulation amending Annexes II  III and V to Regulation (EC) No 396/2005 of the European Parliament and of the Council as regards maximum residue levels for bone oil  carbon monoxide  cyprodinil  dodemorh  iprodione  metalaxyl  metalaxyl-M  metaldehyde  metazachlor  paraffin oil (CAS 64742-54-7)  petroleum oils (CAS 92062-35-6) and propargite in or on certain products"</t>
  </si>
  <si>
    <t>These notified annexes to the draft Regulation set proposed maximum residue levels (MRLs) for bone oil  carbon monoxide  cyprodinil  dodemorh  iprodione  metalaxyl  metalaxyl-M  metaldehyde  metazachlor  paraffin oil (CAS 64742-54-7)  petroleum oils (CAS 92062-35-6) and propargite. MRLs for these substances in certain commodities are changed: either increased or lowered. Lower MRLs are set after updating the limit of determinations and/or deleting old uses which are not authorised any more in the European Union or for which a human health concern may not be excluded.</t>
  </si>
  <si>
    <t xml:space="preserve"> HS codes: 0208  0202  0207  0201  0209  1007  0204  0205  1001  0203  1008  0206  1002  1004  1006  0210  1003  1005 </t>
  </si>
  <si>
    <t>G/SPS/N/KOR/477</t>
  </si>
  <si>
    <t>Proposed Draft Amendment of the Enforcement Rule of the Special Act on Safety Control of Children's Dietary Life</t>
  </si>
  <si>
    <t>Revision of the Enforcement Rule of the Special Act on Safety  Control of Children's Dietary Life: - Integrated 2 previously separate forms (Form I "Report of Accredited Children Food Safety Zone List" and Form III "Report of Children's favorite food retailers list within the Zone") into a single form  - Integrated accreditation marks for Exemplary business establishments  quality certified products and children's health-friendly enterprises into a single mark  and - Specified matters regarding inspections of children's food service management centers and their registered service centers.</t>
  </si>
  <si>
    <t>Food  food safety  food additives  packaging and containers for food</t>
  </si>
  <si>
    <t>G/SPS/N/KOR/476</t>
  </si>
  <si>
    <t>Proposed Draft Amendment of the Enforcement Decree of the Special Act on Safety Control of Children's Dietary Life</t>
  </si>
  <si>
    <t>Revision of the Enforcement Decree of the Special Act on Safety  Control of Children's Dietary Life: - Enlarged the scope of children's food service managing centers eligible for support   * from "group food service centers" to "food service centers"  - Specified organizations consigned for the operation of "central food service managing centers"   * Specified a detailed scope of food-related organizations or groups suitable to entrust the operating and managing of "central food service management centers".</t>
  </si>
  <si>
    <t>G/SPS/N/TPKM/317</t>
  </si>
  <si>
    <t xml:space="preserve"> Import foods and related products</t>
  </si>
  <si>
    <t>G/SPS/N/BRA/953</t>
  </si>
  <si>
    <t>Draft resolution regarding the active ingredient THIAMETHOXAM of the monograph list of active ingredients for pesticides  household cleaning products and wood preservers  published by Resolution - RE n° 165 of 29 August 2003  Brazilian Official Gazette (DOU Diário Oficial da União) of 2 September 2003 Inclusion of plantation furrow application in cultures of corn (0.02mg/kg and safety security period not determined due to the mode of use</t>
  </si>
  <si>
    <t>Foliar application in cultures of lettuce (1.0mg/kg safety security period of 1 day)  cotton (0.02mg/kg safety security period of 21 days)  watercress (1.0mg/kg safety security period of 1 day)  garlic (0.05mg/kg safety security period of 7 days)  leek (1.0mg/kg safety security period of 1 day)  peanut (0.02mg/kg safety security period of 42 days)  rice (1.0mg/kg safety security period of 21 days)  oat (0.07mg/kg safety security period of 7 days)  potato (0.02mg/kg safety security period of 10 days)  sugarcane (0.01mg/kg safety security period of 30 days)  onion (0.02mg/kg safety security period of 3 days)  chive (1.0mg/kg safety security period of 1 day)  barley (0.3mg/kg safety security period of 7 days)  citrus (1.0mg/kg safety security period of 10 days)  coriander (1.0mg/kg safety security period of 1 day)  chrysanthemum (non-food use)  pea (0.2mg/kg safety security period of 3 days)  bean (0.02mg/kg safety security period of 14 days)  fig (0.1mg/kg safety security period of 1 day)  tobacco (non-food use)  sunflower (0.05mg/kg safety security period of 7 days)  papaya (0.1mg/kg safety security period of 7 days)  cassava (0.02mg/kg safety security period of 10 days)  mango (0.05mg/kg safety security period of 5 days)  watermelon (0.1mg/kg safety security period of 14 days)  melon (0.02mg/kg safety security period of 7 days)  corn (0.02mg/kg safety security period of 30 days)  strawberry (0.1mg/kg safety security period of 1 day)  indian fig (feed) (0.05mg/kg safety security period of 7 days)  pasture (0.7mg/kg safety security period of 3 days)  cucumber (0.02mg/kg safety security period of 1 day)  pepper (0.2mg/kg safety security period of 1 day)  cabbage (0.03mg/kg safety security period of 1 day)  rose (non-food use)  soy (0.02mg/kg safety security period of 30 days)  sorghum (0.1mg/kg safety security period of 7 days)  tomato (1.0mg/kg safety security period of 3 days)  wheat (0.02mg/kg safety security period of 42 days)  grape (0.5mg/kg safety security period of 7 days). Soil application in cultures of pineapple (0.02mg/kg safety security period of 60 days)  zucchini (0.02mg/kg safety security period of 45 days)  lettuce (1.0mg/kg safety security period not determined due to the mode of use)  rice (1.0mg/kg safety security period of 78 days)  potato (0.02mg/kg safety security period of 89 days)  eggplant (0.02mg/kg safety security period of 40 days)  coffee (0.1mg/kg safety security period of 90 days)  sugarcane (0.01mg/kg safety security period not determined due to the mode of use)  citrus (1.0mg/kg safety security period of 14 days)  pod bean (0.02mg/kg safety security period of 60 days)  tobacco (non-food use)  apple (0.02mg/kg safety security period of 60 days)  papaya (0.1mg/kg safety security period of 7 days)  watermelon (0.1mg/kg safety security period of 14 days)  melon (0.02mg/kg safety security period of 43 days)  strawberry (0.1mg/kg safety security period of 1 day)  cucumber (0.02mg/kg safety security period of 45 days)  peach (0.02mg/kg safety security period of 45 days)  pepper (0.2mg/kg safety security period of 46 days)  cabbage (0.03mg/kg safety security period of 70 days)  tomato (1.0mg/kg safety security period of 10 days)  grape (0.5mg/kg safety security period of 45 days). Seeds application in cultures of cotton (0.02mg/kg safety security period not determined due to the mode of use)  peanut (0.02mg/kg safety security period not determined due to the mode of use)  rice (1.0mg/kg safety security period not determined due to the mode of use)  potato (0.02 mg/kg and safety security period not determined due to the mode of use)  barley (0.3mg/kg safety security period not determined due to the mode of use)  bean (0.02mg/kg safety security period not determined due to the mode of use)  sunflower (0.05mg/kg safety security period not determined due to the mode of use)  corn (0.02mg/kg safety security period not determined due to the mode of use)  pasture (0.7mg/kg safety security period not determined due to the mode of use)  soy (0.02mg/kg safety security period not determined due to the mode of use)  sorghum (0.1mg/kg safety security period not determined due to the mode of use)  wheat (0.02mg/kg safety security period not determined due to the mode of use). Plantation furrow application in cultures of sugarcane (0.01mg/kg safety security period not determined due to the mode of use) and corn (0.02mg/kg safety security period not determined due to the mode of use). Immersion (peduncle) application in cultures of pineapple (0.02mg/kg safety security period not determined due to the mode of use). Immersion (seedling) in cultures of eucalyptus (non-food use). Trunk application in cultures of citrus (1.0mg/kg safety security period of 180 days). Industrial treatment of vegetative propagules (seedlings) before plantation in cultures of sugarcane (0.01mg/kg safety security period not determined due to the mode of use).</t>
  </si>
  <si>
    <t>G/SPS/N/BRA/950</t>
  </si>
  <si>
    <t>Draft resolution that modifies Resolution nº 216/2004  and approves the Technical Regulation of the Good Practices for food services</t>
  </si>
  <si>
    <t xml:space="preserve">Draft resolution that modifies Resolution nº 216/2004 and approves the Technical Regulation of the Good Practices for food services.   According to this draft resolution  Article 7 is included to the Resolution 216/2004  as follows: Art. 7 Compliance with sanitary standards established by this Technical Regulation do not exempt food services provided by health establishments from complying with related normative instruments.  Item 1.2 of the Annex of the Resolution 216/2004  will have the following wording: 1.2. Application scope: it applies to food services which develop some of the following activities: manipulation  preparation  fractionation  storage  distribution  transportation  exposition to sale and delivery of prepared food to consumer  as cafeterias  buffets  commissioners  patisseries  industrial kitchens  institutional kitchens  food units and nutrition of health establishments  delicatessens  fast food  bakeries  pastries  restaurants  rotisseries and the similar. This technical regulation does not apply to human milk banks  lactary services  unities of Enteral Nutrition Therapy (ENT) units and industrial establishments which are regulated by the Technical Regulation on Hygienic-Sanitary Conditions and Good Manufacturing Practices for Establishments of Food Manufacturing/Industrialization. </t>
  </si>
  <si>
    <t>Food services</t>
  </si>
  <si>
    <t>G/SPS/N/KOR/475</t>
  </si>
  <si>
    <t>Re-notification of newly added texts of Enforcement Regulation of Testing and Inspection of Food and Drugs Act</t>
  </si>
  <si>
    <t>The proposed Enactment of the Enforcement Regulation of Testing and Inspection of Food and Drugs Act was already notified to WTO in 11 December 2013 for comment. In the meantime  it was decided that current provisions of existing notifications exercised by the Minister of Food and Drug Safety should be consolidated into the previously notified Enactments for better clarification of the legal status in line with the Enforcement Regulation  by upgrading the text in MFDS notifications into the Enforcement Regulation. As a result  the current regulations in the MFDS notifications were incorporated into the Annexes of the previously proposed Enactment of the Enforcement Regulation. Key features of the proposed texts shall be those of current texts of the notifications and minor changes were made to expand the designating scope of the testing laboratory to allow Livestock Products Testing in addition to the Food Testing laboratories with regards to Foreign Official Laboratories. User fee system introduced was already notified to WTO in 11 December 2013.</t>
  </si>
  <si>
    <t>Testing laboratories (food  livestock products  pharmaceuticals  traditional Korean medicinal substances  medical devices  cosmetics)</t>
  </si>
  <si>
    <t xml:space="preserve"> HS codes: 04  02  33  30 </t>
  </si>
  <si>
    <t>Certification  control and inspection  Food safety  Human health  Pharmaceutical products</t>
  </si>
  <si>
    <t>G/SPS/N/ZAF/35</t>
  </si>
  <si>
    <t>Regulations relating to the labelling and advertising of foods: Amendment</t>
  </si>
  <si>
    <t>The proposed Regulation makes provision for the labelling and advertising of pre-packaged foodstuffs under the control of the Department of Health  in terms of the Foodstuffs  Cosmetics and Disinfectants Act  1972 (Act 54 of 1972).</t>
  </si>
  <si>
    <t>Preparations of meat  of fish or of crustaceans  molluscs or other aquatic invertebrates (HS Code: 16)  Sugars and sugar confectionery (HS Code: 17)  Cocoa and cocoa preparations (HS Code: 18)  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(HS Code: 1901)  Pasta  whether or not cooked or stuffed (with meat or other substances) or otherwise prepared  such as spaghetti  macaroni  noodles  lasagne  gnocchi  ravioli  cannelloni  couscous  whether or not prepared (HS Code: 1902)  Tapioca and substitutes therefor prepared from starch  in the form of flakes  grains  pearls  siftings or in similar forms (HS Code: 1903)  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(HS Code: 1904)  Bread  pastry  cakes  biscuits and other bakers' wares  whether or not containing cocoa  communion wafers  empty cachets of a kind suitable for pharmaceutical use  sealing wafers  rice paper and similar products (HS Code: 1905)  Vegetables  fruit  nuts and other edible parts of plants  prepared or preserved by vinegar or acetic acid (HS Code: 2001)  Tomatoes prepared or preserved otherwise than by vinegar or acetic acid (HS Code: 2002)  Mushrooms and truffles  prepared or preserved otherwise than by vinegar or acetic acid (HS Code: 2003)  Other vegetables prepared or preserved otherwise than by vinegar or acetic acid  frozen  other than products of heading 20.06 (HS Code: 2004)  Other vegetables prepared or preserved otherwise. Food technology (ICS Code: 67)  Food products in general (ICS Code: 67.040)</t>
  </si>
  <si>
    <t xml:space="preserve"> HS codes: 17  18  16 </t>
  </si>
  <si>
    <t>G/SPS/N/BRA/949</t>
  </si>
  <si>
    <t>Draft resolution regarding the active ingredient TEFLUBENZURON of the monograph list of active ingredients for pesticides  household cleaning products and wood preservers  published by Resolution - RE n° 165 of 29 August 2003  Brazilian Official Gazette (DOU Diário Oficial da União) of 2 September 2003 Inclusion of cultures of oat (0.3mg/kg and safety security period of 14 days)  barley (0.2mg/kg and safety security period of 14 days)  citrus (0.2mg/kg and safety security period of 15 days)  sunflower (0.1mg/kg and safety security period of 7 days)  sorghum (0.5mg/kg and safety security period of 7 days) in foliar application</t>
  </si>
  <si>
    <t>G/SPS/N/BRA/948</t>
  </si>
  <si>
    <t>Draft resolution regarding the active ingredient TEBUCONAZOLE of the monograph list of active ingredients for pesticides  household cleaning products and wood preservers  published by Resolution - RE n° 165 of 29 August 2003  Brazilian Official Gazette (DOU Diário Oficial da União) of 2 September 2003 Inclusion of cultures of sugarcane (0.2mg/kg and safety security period of 90 days) in foliar and furrow plantation application</t>
  </si>
  <si>
    <t>G/SPS/N/BRA/947</t>
  </si>
  <si>
    <t>Draft resolution regarding the active ingredient IMIDACLOPRID of the monograph list of active ingredients for pesticides  household cleaning products and wood preservers  published by Resolution - RE n° 165 of 29 August 2003  Brazilian Official Gazette (DOU Diário Oficial da União) of 2 September 2003 Inclusion of foliar application in cultures of sugarcane (0.4mg/kg and safety security period of 30 days) and soil application (0.4mg/kg)</t>
  </si>
  <si>
    <t xml:space="preserve">Foliar application in cultures of lettuce (0.5mg/kg safety security period of 14 days)  cotton (0.5mg/kg safety security period of 30 days)  garlic (0.05mg/kg safety security period of 30 days)  chicory (0.01mg/kg safety security period of 14 days)  banana (0.1mg/kg safety security period of 7 days)  potato (0.5mg/kg safety security period of 21 days)  eggplant (0.5mg/kg safety security period of 7 days)  sugarcane (0.4mg/kg safety security period of 30 days)  onion (0.05mg/kg safety security period of 21 days)  citrus (1.0mg/kg safety security period of 21 days)  cabbage (2.0mg/kg safety security period of 14 days)  chrysanthemum (non-food use)  eucalyptus (non-food use)  bean (0.07mg/kg safety security period of 21 days)  tobacco  (non-food use)  gerbera (non-food use)  guava (0.1mg/kg safety security period of 7 days)  gilo (0.05mg/kg safety security period of 7 days)  papaya (2.0mg/kg safety security period of 7 days)  mango (0.7mg/kg safety security period of 7 days)  passion fruit (0.2mg/kg safety security period of 7 days)  watermelon (0.2mg/kg safety security period of 7 days)  corn (0.5mg/kg safety security period of 30 days)  Indian fig (0.5mg/kg safety security period of 16 days)  cucumber (0.2mg/kg safety security period of 7 days)  pepper (0.5mg/kg safety security period of 7 days)  pinus (non-food use)  poinsettia (non-food use)  soy (0.1mg/kg safety security period of 21 days)  tomato (0.5mg/kg safety security period of 7 days)  wheat (0.5mg/kg safety security period of 30 days)  grape (1.0mg/kg safety security period of 7 days). Foliar (seedling) application in cultures of pineapple (0.05mg/kg safety security period of 75 days)  pumpkin (0.05mg/kg safety security period of 40 days)  zucchini (0.05mg/kg safety security period of 40 days)  broccoli (0.01mg/kg safety security period of 82 days)  chicory (0.01mg/kg safety security period of 14 days)  cauliflower (0.05mg/kg safety security period of 82 days)  watermelon (0.2mg/kg safety security period of 40 days)  melon (0.2mg/kg safety security period of 14 days)  cucumber (0.2mg/kg safety security period of 40 days)  cabbage (0.05mg/kg safety security period of 50 days). Seeds application in cultures of cotton (0.5mg/kg safety security period not determined due to the mode of use)  peanut (0.05mg/kg safety security period not determined due to the mode of use)  rice (0.05mg/kg safety security period not determined due to the mode of use)  oat (0.05mg/kg safety security period not determined due to the mode of use)  barley (0.05mg/kg safety security period not determined due to the mode of use)  bean (0.07mg/kg safety security period not determined due to the mode of use)  sunflower (0.1mg/kg safety security period not determined due to the mode of use)  castor beans (non-food use)  corn (0.5mg/kg safety security period not determined due to the mode of use)  soy (0.1mg/kg safety security period not determined due to the mode of use)  sorghum (0.1mg/kg safety security period not determined due to the mode of use)  wheat (0.5mg/kg safety security period not determined due to the mode of use). Soil application in cultures of coffee (0.07mg/kg safety security period of 45 days)  sugarcane (0.4mg/kg safety security period not determined due to the mode of use)  eucalyptus (non-food use)  tobacco (non-food use)  pinus (non-food use). Trunk application in cultures of coffee (0.07mg/kg safety security period of 45 days)  citrus (1.0mg/kg safety security period of 21 days)  papaya (2.0mg/kg safety security period of 60 days)  peach (0.1mg/kg safety security period of 30 days)  grape (1.0mg/kg safety security period of 60 days).  </t>
  </si>
  <si>
    <t>G/SPS/N/HKG/39/Add.1</t>
  </si>
  <si>
    <t>Change in date of adoption/publication/entry into force  Modification of final date for comments</t>
  </si>
  <si>
    <t>G/SPS/N/BRA/946</t>
  </si>
  <si>
    <t>Draft resolution regarding the active ingredient REYNOUTRIA SACHALINENSIS of the monograph list of active ingredients for pesticides  household cleaning products and wood preservers  published by Resolution - RE n° 165 of 29 August 2003  Brazilian Official Gazette (DOU Diário Oficial da União) of 2 September 2003</t>
  </si>
  <si>
    <t>Foliar application in cultures of potato (MRL and safety security period not determined due to its natural occurrence in food cultures)  citrus (MRL and safety security period not determined due to its natural occurrence in food cultures)  bean (MRL and safety security period not determined due to its natural occurrence in food cultures)  tomato (MRL and safety security period not determined due to its natural occurrence in food cultures).</t>
  </si>
  <si>
    <t>G/SPS/N/BRA/944</t>
  </si>
  <si>
    <t xml:space="preserve">Draft resolution regarding the active ingredient TRIFLOXYSTROBIN of the monograph list of active ingredients for pesticides  household cleaning products and wood preservers  published by Resolution - RE n° 165 of 29 August 2003  Brazilian Official Gazette (DOU Diário Oficial da União) of 2 September 2003 Inclusion of the culture of sugarcane  with maximum residue limit (MRL) of 0.05mg/kg and safety security period of 90 days  in foliar application and plantation furrow modalities. </t>
  </si>
  <si>
    <t>G/SPS/N/BRA/943</t>
  </si>
  <si>
    <t xml:space="preserve">Draft resolution regarding the active ingredient DIAFENTHIURON of the monograph list of active ingredients for pesticides  household cleaning products and wood preservers  published by Resolution - RE n° 165 of 29 August 2003  Brazilian Official Gazette (DOU Diário Oficial da União) of 2 September 2003 Inclusion of the cultures of potato (0.01mg/kg and safety security period of 3 days)  eggplant (0.3mg/kg safety security period of 3 days)  and cucumber (0.3mg/kg safety security period of 7 days)  in foliar application.  </t>
  </si>
  <si>
    <t>Foliar application in cultures of cotton (0.1mg/kg safety security period of 21 days)  potato (0.01mg/kg safety security period of 3 days)  eggplant (0.3mg/kg safety security period of 3 days)  coffee (0.2mg/kg safety security period of 7 days)  citrus (0.5mg/kg safety security period of 14 days)  bean (0.3mg/kg safety security period of 14 days)  watermelon (0.1mg/kg safety security period of 7 days)  melon (0.2mg/kg safety security period of 7 days)  cucumber (0.3mg/kg safety security period of 7 days)  cabbage (0.1mg/kg safety security period of 14 days)  rose (non-food use)  soy (0.3mg/kg safety security period of 21 days)  tomato (0.5mg/kg safety security period of 7 days).</t>
  </si>
  <si>
    <t>G/SPS/N/USA/2645/Add.1</t>
  </si>
  <si>
    <t>Food and food products  including animal feed and pet food under FDA's jurisdiction  except that infant formula and dietary supplements are exempt. Also  meat  poultry and egg products that are exclusively regulated by the US Department of Agriculture are exempt. HS Codes: 03  04  05  07  08  09  10  11  12  15  16  17  18  19  20  21  22.</t>
  </si>
  <si>
    <t xml:space="preserve"> HS codes: 07  12  03  20  19  17  05  10  04  16  15  22  08  18  09  11  21 </t>
  </si>
  <si>
    <t>G/SPS/N/SGP/52/Add.2</t>
  </si>
  <si>
    <t>G/SPS/N/NZL/504</t>
  </si>
  <si>
    <t>Proposals to Amend (No. 1) the New Zealand (Maximum Residue Limits of Agricultural Compounds) Food Standards 2014</t>
  </si>
  <si>
    <t>The document contains technical details on proposals to amend the New Zealand (Maximum Residue Limits of Agricultural Compounds) Food Standards 2014.  MPI proposes to add the following new MRLs to the MRL Standards:  - 0.5 mg/kg in bulb onions for ametoctradin when used as a fungicide  - 0.01 mg/kg in cereal grain  0.15 mg/kg in mammalian meat  0.4 mg/kg in edible offal and 0.04 mg/kg in milk for bixafen when used as a fungicide in cereals  - 1.5 mg/kg in citrus and beans for boscalid when used as a fungicide  - 0.1 mg/kg in field tomatoes  0.01 mg/kg(*) in potatoes and bulb onions  0.01 mg/kg(*) in mammalian meat  fat and edible offal for cyantraniliprole when used as an insecticide in bulb onions  potatoes  field tomatoes and fodder brassicas  - 0.1 mg/kg in pome fruit for etoxazole when used as a miticide  - 0.1 mg/kg in wheat grain  0.3 mg/kg in barley grain  0.01 mg/kg in mammalian meat  0.03 mg/kg in edible offal  0.05 mg/kg in mammalian fat  0.005 mg.kg in milk  0.02 mg/kg in apple for fluxapyroxad when used as a fungicide in barley  wheat crops and apples  - 0.2 mg/kg in grapes for imidacloprid when used as an insecticide  - 0.01 mg/kg in winter squash and pumpkins for lambda-cyhalothrin when used as an insecticide  - 0.01 mg/kg in potatoes for lufenuron when used as an insecticide  - 0.4 mg/kg in beans  0.7 mg/kg in citrus for pyraclostrobin when used as a fungicide  and - 0.7 mg/kg in blueberries for spirotetramat when used as an insecticide.</t>
  </si>
  <si>
    <t>G/SPS/N/AUS/340</t>
  </si>
  <si>
    <t>Proposal to Amend Standard 1.4.2 of the Australia New Zealand Food Standards Code (3 June 2014 - Proposed amendment (Agricultural and Veterinary Chemicals Code Instrument No. 4 (MRL Standard) Amendment Instrument 2014 (No. 6)))</t>
  </si>
  <si>
    <t>G/SPS/N/USA/2465/Add.2</t>
  </si>
  <si>
    <t xml:space="preserve"> HS codes: 0403  2105  2106  1704  1904 </t>
  </si>
  <si>
    <t>G/SPS/N/TUR/10/Add.2</t>
  </si>
  <si>
    <t>Foodstuffs  materials and articles in contact with foodstuffs and feedstuffs</t>
  </si>
  <si>
    <t>Animal feed  Animal health  Biotechnology  Food safety  Genetically modified organisms  Human health  Labelling  Packaging  Plant health</t>
  </si>
  <si>
    <t>G/SPS/N/EGY/57</t>
  </si>
  <si>
    <t>Ministerial Decree No. 266/2011 mandating Egyptian standards related to food products</t>
  </si>
  <si>
    <t>The decree mandates that the producers and importers of food products must comply with the following Egyptian standards: - ES No 7114/2010 "Colours for use in foodstuffs" (Adopted) (Directive no 94/36/EC)  - ES No 7115/2010 "Sweeteners for use in foodstuffs" (Adopted) (Directive no 94/35/EC)  - ES No 7116/2010 "Food additives other than colours and sweetener" (Adopted) (Directive no 95/2/EC )  - ES No 7135/2010 "Maximum residue limits of veterinary medical products in foodstuffs of animal origin" (Adopted) Regulation (EEC) No 2377/1990)  - ES No 7136/2010 "Maximum levels for certain contaminants in foodstuff" (Adopted) Regulation (EC) No 1881/2006).</t>
  </si>
  <si>
    <t>Contaminants  Food additives  Food safety  Human health  Maximum residue limits (MRLs)  Veterinary drugs</t>
  </si>
  <si>
    <t>G/SPS/N/CAN/830</t>
  </si>
  <si>
    <t>Proposed Maximum Residue Limit: Halauxifen-methyl (PMRL2014-33)</t>
  </si>
  <si>
    <t>The objective of the notified document PMRL2014-33 is to consult on the listed domestic maximum residue limits (MRLs) for halauxifen-methyl that have been proposed by the Health Canada's Pest Management Regulatory Agency (PMRA). MRL (ppm) Raw Agricultural Commodity (RAC) and/or Processed Commodity 0.01 Barley  wheat ppm = parts per million</t>
  </si>
  <si>
    <t>Food safety  Maximum residue limits (MRLs)  Pesticides</t>
  </si>
  <si>
    <t>G/SPS/N/CAN/613/Rev.1/Add.5/Corr.1</t>
  </si>
  <si>
    <t>G/SPS/N/TUR/49</t>
  </si>
  <si>
    <t>Turkish Food Codex Regulation on Maximum Levels of Coccidiostats or Histomonostats in Foodstuffs of Animal Origin Resulting From the Unavoidable Carry-Over of These Substances in Non-Target Feed</t>
  </si>
  <si>
    <t>The Regulation covers maximum levels of coccidiostats and histomonostats in foodstuffs of animal origin resulting from the unavoidable carry-over of these substances in non-target feed.</t>
  </si>
  <si>
    <t xml:space="preserve"> HS codes: 0401  0203  0204  0201  2309  0207 </t>
  </si>
  <si>
    <t>G/SPS/N/CHN/651</t>
  </si>
  <si>
    <t>National Food Safety Standard of the P.R.C.: Code of Hygienic Practice for Food Additives</t>
  </si>
  <si>
    <t>This code of hygienic practice applies to the production of food additives.</t>
  </si>
  <si>
    <t xml:space="preserve"> HS codes: 3501 </t>
  </si>
  <si>
    <t>G/SPS/N/CAN/700/Rev.1</t>
  </si>
  <si>
    <t>A New Regulatory Framework for Federal Food Inspection: Overview of Proposed Regulations</t>
  </si>
  <si>
    <t>As notified in G/SPS/N/CAN/700 (8 July 2013)  the Canadian Food Inspection Agency (CFIA) is proposing to draw together federal food inspection regulations in Canada into one overarching system. The new regulatory framework will replace thirteen separate federal food inspection regulations with one single set of regulations.   This document provides an overview of the proposed regulations  including draft regulatory text for key elements of the regulations (licensing  preventive control requirements related to the preparation of food  and traceability)  and highlights some significant regulatory proposals (grade standards  ministerial exemptions  labelling and standards of identity  membership requirements for buyers and sellers of fresh fruit and vegetables). The document builds on the discussion document notified in G/SPS/N/CAN/700 and the comments received during the consultation period. Responses received as a result of this consultation will be considered in further drafting of the regulations. The CFIA intends to pre-publish the proposed regulations under the Safe Food for Canadians Act (SFCA) in late fall 2014 and will provide opportunity for final comment at that time.</t>
  </si>
  <si>
    <t>G/SPS/N/USA/2631/Add.1</t>
  </si>
  <si>
    <t xml:space="preserve"> HS codes: 21  09  05  15  10  17  19  20  03  12  07  08  22  18  04 </t>
  </si>
  <si>
    <t>G/SPS/N/CAN/821</t>
  </si>
  <si>
    <t>Proposed Maximum Residue Limit: Flubendiamide (PMRL2014-25)</t>
  </si>
  <si>
    <t>The objective of the notified document PMRL2014-25 is to consult on the listed maximum residue limits (MRLs) for flubendiamide that have been proposed by the Health Canada's Pest Management Regulatory Agency (PMRA). MRL (ppm) Raw Agricultural Commodity (RAC) and/or Processed Commodity 30 Leafy Brassica greens (Crop Subgroup 5B) 15 Spinach 9.0 Leafy vegetables (except Brassica) (Crop Group 4) except spinach 4.0 Head and stem Brassica (Crop Subgroup 5A) 2.0 Stone fruits (Crop Group 12-09)  Small fruit vine climbing except fuzzy kiwifruit (Crop Subgroup 13-07F) 0.8 Pome fruits (Crop Group 11-09)  dried tomatoes 0.4 Fruiting vegetables (Crop Group 8-09) 0.2 Cucurbit vegetables (Crop Group 9) 0.1 Tree nuts (Crop Group 14-11)   0.03 Field corn 0.02 Popcorn grain  0.01 Sweet corn kernels plus cob with husks removed ppm = parts per million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</si>
  <si>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G/SPS/N/BRA/935</t>
  </si>
  <si>
    <t>Draft resolution regarding the active ingredient LAMBDA-CYHALOTHRIN of the monograph list of active ingredients for pesticides  household cleaning products and wood preservers  published by Resolution - RE n° 165 of 29 August 2003  Brazilian Official Gazette (DOU Diário Oficial da União) of 2 September 2003 Inclusion of the concentrated suspension as a presentation form  in the maximum allowed concentration of 106 g/L for household cleaning use by specialized entity.</t>
  </si>
  <si>
    <t>Draft resolution regarding the active ingredient LAMBDA-CYHALOTHRIN of the monograph list of active ingredients for pesticides  household cleaning products and wood preservers (inclusion of the concentrated suspension as a presentation form  in the maximum allowed concentration of 106 g/L to household cleaning use by specialized entity  to this active ingredient)  including foliar application in cultures of cress (1.0mg/kg safety security period of 1 day)  lettuce (1.0mg/kg safety security period of 1 day)  cotton (0.05mg/kg safety security period of 10 days)  garlic (0.02mg/kg safety security period of 7 days)  leeks (0.02mg/kg safety security period of 7 days)  peanut (0.02mg/kg safety security period of 21 days)  rice (1.0mg/kg safety security period of 21 days)  oat (0.2mg/kg safety security period of 7 days)  potato (0.05mg/kg safety security period of 3 days)  broccoli (0.1mg/kg safety security period of 1 day)  coffee (0.05mg/kg safety security period of 1 day)  sugarcane (0.01mg/kg safety security period of 30 days)  onion (0.05mg/kg safety security period of 3 days)  chive (1.0mg/kg safety security period of 1 day)  barley (2.0mg/kg safety security period of 3 days)  citrus (1.0mg/kg safety security period of 10 days)  coriander (1.0mg/kg safety security period of 1 day)  kale (0.1mg/kg safety security period of 1 day)  cauliflower (0.1mg/kg safety security period of 1 day)  chrysanthemum (non-food use)  bean (0.05mg/kg safety security period of 15 days)  fig (0.5mg/kg safety security period of 1 day)  tobacco (non-food use)  sunflower (0.01mg/kg safety security period of 21 days)  mango (0.1mg/kg safety security period of 5 days)  melon (0.1mg/kg safety security period of 3 days)  corn (1.0mg/kg safety security period of 15 days)  strawberry (0.5mg/kg safety security period of 1 day)  indian fig (feed) (2.0mg/kg safety security period of 7 days)  pasture (2.0mg/kg safety security period of 3 days)  cucumber (0.01mg/kg safety security period of 1 day)  rice (1.0mg/kg safety security period of 21 days)  pepper (0.2mg/kg safety security period of 1 day)  cabbage (0.1mg/kg safety security period of 1 day)  rose (non-food use)  soy (0.05mg/kg safety security period of 20 days)  sorghum (0.3mg/kg safety security period of 7 days)  tomato (0.05mg/kg safety security period of 3 days)  wheat (0.5mg/kg safety security period of 15 days)  grape (0.3mg/kg safety security period of 7 days). Seeds application in cultures of rice (1.0mg/kg safety security period not determined due to the mode of use)  barley (2.0mg/kg safety security period not determined due to the mode of use)  corn (1.0mg/kg safety security period not determined due to the mode of use)  pasture (2.0mg/kg safety security period not determined due to the mode of use)  soy (0.05mg/kg safety security period not determined due to the mode of use)  sorghum (0.3mg/kg safety security period not determined due to the mode of use)  wheat (0.5mg/kg safety security period not determined due to the mode of use). Stored products application in cultures of rice (1.0mg/kg safety security period of 42 days)  barley (2.0mg/kg safety security period of 42 days)  corn (1.0mg/kg safety security period of 42 days)  wheat (0.5mg/kg safety security period of 42 days). Plantation furrow in cultures of sugarcane (0.01mg/kg safety security period not determined due to the mode of use).</t>
  </si>
  <si>
    <t>Foliar application in cultures of cress (1.0mg/kg safety security period of 1 day)  lettuce (1.0mg/kg safety security period of 1 day)  cotton (0.05mg/kg safety security period of 10 days)  garlic (0.02mg/kg safety security period of 7 days)  leeks (0.02mg/kg safety security period of 7 days)  peanut (0.02mg/kg safety security period of 21 days)  rice (1.0mg/kg safety security period of 21 days)  oat (0.2mg/kg safety security period of 7 days)  potato (0.05mg/kg safety security period of 3 days)  broccoli (0.1mg/kg safety security period of 1 day)  coffee (0.05mg/kg safety security period of 1 day)  sugarcane (0.01mg/kg safety security period of 30 days)  onion (0.05mg/kg safety security period of 3 days)  chive (1.0mg/kg safety security period of 1 day)  barley (2.0mg/kg safety security period of 3 days)  citrus (1.0mg/kg safety security period of 10 days)  coriander (1.0mg/kg safety security period of 1 day)  kale (0.1mg/kg safety security period of 1 day)  cauliflower (0.1mg/kg safety security period of 1 day)  chrysanthemum (non-food use)  bean (0.05mg/kg safety security period of 15 days)  fig (0.5mg/kg safety security period of 1 day)  tobacco (non-food use)  sunflower (0.01mg/kg safety security period of 21 days)  mango (0.1mg/kg safety security period of 5 days)  melon (0.1mg/kg safety security period of 3 days)  corn (1.0mg/kg safety security period of 15 days)  strawberry (0.5mg/kg safety security period of 1 day)  indian fig (feed) (2.0mg/kg safety security period of 7 days)  pasture (2.0mg/kg safety security period of 3 days)  cucumber (0.01mg/kg safety security period of 1 day)  rice (1.0mg/kg safety security period of 21 days)  pepper (0.2mg/kg safety security period of 1 day)  cabbage (0.1mg/kg safety security period of 1 day)  rose (non-food use)  soy (0.05mg/kg safety security period of 20 days)  sorghum (0.3mg/kg safety security period of 7 days)  tomato (0.05mg/kg safety security period of 3 days)  wheat (0.5mg/kg safety security period of 15 days)  grape (0.3mg/kg safety security period of 7 days). Seeds application in cultures of rice (1.0mg/kg safety security period not determined due to the mode of use)  barley (2.0mg/kg safety security period not determined due to the mode of use)  corn (1.0mg/kg safety security period not determined due to the mode of use)  pasture (2.0mg/kg safety security period not determined due to the mode of use)  soy (0.05mg/kg safety security period not determined due to the mode of use)  sorghum (0.3mg/kg safety security period not determined due to the mode of use)  wheat (0.5mg/kg safety security period not determined due to the mode of use). Stored products application in cultures of rice (1.0mg/kg safety security period of 42 days)  barley (2.0mg/kg safety security period of 42 days)  corn (1.0mg/kg safety security period of 42 days)  wheat (0.5mg/kg safety security period of 42 days). Plantation furrow in cultures of sugarcane (0.01mg/kg safety security period not determined due to the mode of use).</t>
  </si>
  <si>
    <t>G/SPS/N/BRA/934</t>
  </si>
  <si>
    <t xml:space="preserve">Draft resolution regarding the active ingredient THIAMETHOXAM of the monograph list of active ingredients for pesticides  household cleaning products and wood preservers  published by Resolution - RE n° 165 of 29 August 2003  Brazilian Official Gazette (DOU Diário Oficial da União) of 2 September 2003 Inclusion of the concentrated suspension as a presentation form  in the maximum allowed concentration of 141 g/L for household cleaning use by specialized entity  and granulated form in the maximum allowed concentration of 1% p/p for household cleaning purposes against domestic flying insects  both by specialized entities and for free sale.   </t>
  </si>
  <si>
    <t>Draft resolution regarding the active ingredient THIAMETHOXAM of the monograph list of active ingredients for pesticides  household cleaning products and wood preservers (inclusion of the concentrated suspension as a presentation form  in the maximum allowed concentration of 141 g/L for household cleaning use by specialized entity  and granulated form in the maximum allowed concentration of 1% p/p for household cleaning purposes against domestic flying insects  both by specialized entities and for free sale  to this active ingredient)  including foliar application in cultures of lettuce (1.0mg/kg safety security period of 1 day)  cotton (0.02mg/kg safety security period of 21 days)  cress (1.0mg/kg safety security period of 1 day)  garlic (0.05mg/kg safety security period of 7 days)  leeks (1.0mg/kg safety security period of 1 day)  peanut (0.02mg/kg safety security period of 42 days)  rice (1.0mg/kg safety security period of 21 days)  oat (0.07mg/kg safety security period of 7 days)  potato (0.02mg/kg safety security period of 10 days)  sugarcane (0.01mg/kg safety security period of 30 days)  onion (0.02mg/kg safety security period of 3 days)  chive (1.0mg/kg safety security period of 1 day)  barley (0.3mg/kg safety security period of 7 days)  citrus (1.0mg/kg safety security period of 10 days)  coriander (1.0mg/kg safety security period of 1 day)  chrysanthemum (non-food use)  pea (0.2mg/kg safety security period of 3 days)  bean (0.02mg/kg safety security period of 14 days)  fig (0.1mg/kg safety security period of 1 day)  tobacco (non-food use)  sunflower (0.05mg/kg safety security period of 7 days)  papaya (0.1mg/kg safety security period of 7 days)  cassava (0.02mg/kg safety security period of 10 days)  mango (0.05mg/kg safety security period of 5 days)  watermelon (0.1mg/kg safety security period of 14 days)  melon (0.02mg/kg safety security period of 7 days)  corn (0.02mg/kg safety security period of 30 days)  strawberry (0.1mg/kg safety security period of 1 day)  indian fig (feed) (0.05mg/kg safety security period of 7 days)  pasture (0.7mg/kg safety security period of 3 days)  cucumber (0.02mg/kg safety security period of 1 day)  pepper (0.2mg/kg safety security period of 1 day)  cabbage (0.03mg/kg safety security period of 1 day)  rose (non-food use)  pepper (0.2mg/kg safety security period of 1 day)  soy (0.02mg/kg safety security period of 30 days)  sorghum (0.1mg/kg safety security period of 7 days)  tomato (1.0mg/kg safety security period of 3 days)  wheat (0.02mg/kg safety security period of 42 days)  grape (0.5mg/kg safety security period of 7 days). Seeds application in cultures of cotton (0.02mg/kg safety security period not determined due to the mode of use)  peanut (0.02mg/kg safety security period not determined due to the mode of use)  rice (1.0mg/kg safety security period not determined due to the mode of use)  potato (0.02mg/kg safety security period not determined due to the mode of use)  barley (0.3mg/kg safety security period not determined due to the mode of use)  bean (0.02mg/kg safety security period not determined due to the mode of use)  sunflower (0.05mg/kg safety security period not determined due to the mode of use)  corn (0.02mg/kg safety security period not determined due to the mode of use)  pasture (0.7mg/kg safety security period not determined due to the mode of use)  soy (0.02mg/kg safety security period not determined due to the mode of use)  sorghum (0.1mg/kg safety security period not determined due to the mode of use)  wheat (0.02mg/kg safety security period not determined due to the mode of use). Soil application in cultures of pineapple (0.02mg/kg safety security period of 60 days)  courgette (0.02mg/kg safety security period of 45 days)  lettuce (1.0mg/kg safety security period not determined due to the mode of use)  rice (1.0mg/kg safety security period of 78 days)  potato (0.02mg/kg safety security period of 89 days)  eggplant (0.02mg/kg safety security period of 40 days)  coffee (0.1mg/kg safety security period of 90 days)  sugarcane (0.01mg/kg safety security period not determined due to the mode of use)  citrus (1.0mg/kg safety security period of 14 days)  string bean (0.02mg/kg safety security period of 60 days)  tobacco (non-food use)  apple (0.02mg/kg safety security period of 60 days)  papaya (0.1mg/kg safety security period of 7 days)  watermelon (0.1mg/kg safety security period of 14 days)  melon (0.02mg/kg safety security period of 43 days)  strawberry (0.1mg/kg safety security period of 1 day)  cucumber (0.02mg/kg safety security period of 45 days)  peach (0.02mg/kg safety security period of 45 days)  pepper (0.2mg/kg safety security period of 46 days)  cabbage (0.03mg/kg safety security period of 70 days)  tomato (1.0mg/kg safety security period of 10 days)  grape (0.5mg/kg safety security period of 45 days). Peduncle immersion application in cultures of pineapple (0.02mg/kg safety security period not determined due to the mode of use). Seedlings immersion in cultures of eucalyptus (non-food use). Industrial application of vegetative propagules (seedlings) before planting in culture of Sugarcane (0.01mg/kg safety security period not determined due to the mode of use). Plantation furrow in cultures of sugarcane (0.01mg/kg safety security period not determined due to the mode of use). Trunk application in cultures of citrus (1.0mg/kg safety security period of 180 days).</t>
  </si>
  <si>
    <t>Foliar application in cultures of lettuce (1.0mg/kg safety security period of 1 day)  cotton (0.02mg/kg safety security period of 21 days)  cress (1.0mg/kg safety security period of 1 day)  garlic (0.05mg/kg safety security period of 7 days)  leeks (1.0mg/kg safety security period of 1 day)  peanut (0.02mg/kg safety security period of 42 days)  rice (1.0mg/kg safety security period of 21 days)  oat (0.07mg/kg safety security period of 7 days)  potato (0.02mg/kg safety security period of 10 days)  sugarcane (0.01mg/kg safety security period of 30 days)  onion (0.02mg/kg safety security period of 3 days)  chive (1.0mg/kg safety security period of 1 day)  barley (0.3mg/kg safety security period of 7 days)  citrus (1.0mg/kg safety security period of 10 days)  coriander (1.0mg/kg safety security period of 1 day)  chrysanthemum (non-food use)  pea (0.2mg/kg safety security period of 3 days)  bean (0.02mg/kg safety security period of 14 days)  fig (0.1mg/kg safety security period of 1 day)  tobacco (non-food use)  sunflower (0.05mg/kg safety security period of 7 days)  papaya (0.1mg/kg safety security period of 7 days)  cassava (0.02mg/kg safety security period of 10 days)  mango (0.05mg/kg safety security period of 5 days)  watermelon (0.1mg/kg safety security period of 14 days)  melon (0.02mg/kg safety security period of 7 days)  corn (0.02mg/kg safety security period of 30 days)  strawberry (0.1mg/kg safety security period of 1 day)  indian fig (feed) (0.05mg/kg safety security period of 7 days)  pasture (0.7mg/kg safety security period of 3 days)  cucumber (0.02mg/kg safety security period of 1 day)  pepper (0.2mg/kg safety security period of 1 day)  cabbage (0.03mg/kg safety security period of 1 day)  rose (non-food use)  pepper (0.2mg/kg safety security period of 1 day)  soy (0.02mg/kg safety security period of 30 days)  sorghum (0.1mg/kg safety security period of 7 days)  tomato (1.0mg/kg safety security period of 3 days)  wheat (0.02mg/kg safety security period of 42 days)  grape (0.5mg/kg safety security period of 7 days). Seeds application in cultures of cotton (0.02mg/kg safety security period not determined due to the mode of use)  peanut (0.02mg/kg safety security period not determined due to the mode of use)  rice (1.0mg/kg safety security period not determined due to the mode of use)  potato (0.02mg/kg safety security period not determined due to the mode of use)  barley (0.3mg/kg safety security period not determined due to the mode of use)  bean (0.02mg/kg safety security period not determined due to the mode of use)  sunflower (0.05mg/kg safety security period not determined due to the mode of use)  corn (0.02mg/kg safety security period not determined due to the mode of use)  pasture (0.7mg/kg safety security period not determined due to the mode of use)  soy (0.02mg/kg safety security period not determined due to the mode of use)  sorghum (0.1mg/kg safety security period not determined due to the mode of use)  wheat (0.02mg/kg safety security period not determined due to the mode of use). Soil application in cultures of pineapple (0.02mg/kg safety security period of 60 days)  courgette (0.02mg/kg safety security period of 45 days)  lettuce (1.0mg/kg safety security period not determined due to the mode of use)  rice (1.0mg/kg safety security period of 78 days)  potato (0.02mg/kg safety security period of 89 days)  eggplant (0.02mg/kg safety security period of 40 days)  coffee (0.1mg/kg safety security period of 90 days)  sugarcane (0.01mg/kg safety security period not determined due to the mode of use)  citrus (1.0mg/kg safety security period of 14 days)  string bean (0.02mg/kg safety security period of 60 days)  tobacco (non-food use)  apple (0.02mg/kg safety security period of 60 days)  papaya (0.1mg/kg safety security period of 7 days)  watermelon (0.1mg/kg safety security period of 14 days)  melon (0.02mg/kg safety security period of 43 days)  strawberry (0.1mg/kg safety security period of 1 day)  cucumber (0.02mg/kg safety security period of 45 days)  peach (0.02mg/kg safety security period of 45 days)  pepper (0.2mg/kg safety security period of 46 days)  cabbage (0.03mg/kg safety security period of 70 days)  tomato (1.0mg/kg safety security period of 10 days)  grape (0.5mg/kg safety security period of 45 days). Peduncle immersion application in cultures of pineapple (0.02mg/kg safety security period not determined due to the mode of use). Seedlings immersion in cultures of eucalyptus (non-food use). Industrial application of vegetative propagules (seedlings) before planting in culture of Sugarcane (0.01mg/kg safety security period not determined due to the mode of use). Plantation furrow in cultures of sugarcane (0.01mg/kg safety security period not determined due to the mode of use). Trunk application in cultures of citrus (1.0mg/kg safety security period of 180 days).</t>
  </si>
  <si>
    <t>G/SPS/N/CAN/817</t>
  </si>
  <si>
    <t>Proposed Maximum Residue Limit: Prothioconazole (PMRL2014-20)</t>
  </si>
  <si>
    <t>The objective of the notified document PMRL2014-20 is to consult on the listed domestic maximum residue limits (MRLs) for prothioconazole and the metabolite desthio-prothioconazole that have been proposed by the Health Canada's Pest Management Regulatory Agency (PMRA). MRL (ppm) Raw Agricultural Commodity (RAC) and/or Processed Commodity 2.0 Crop Subgroup 13-07B (Bushberry Subgroup) 0.3 Crop Group 9 (Cucurbit Vegetables) 0.2 Crop Subgroup 13-07H (Low growing berry Subgroup  except strawberry) 0.02 Peanuts ppm = parts per million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</si>
  <si>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G/SPS/N/EU/77</t>
  </si>
  <si>
    <t>Commission Regulation (EU) No 497/2014 of 14 May 2014 amending Annex II to Regulation (EC) No 1333/2008 of the European Parliament and of the Council and the Annex to Commission Regulation (EU) No 231/2012 as regards the use of Advantame as a sweetener (Text with EEA relevance)</t>
  </si>
  <si>
    <t>Authorisation of Advantame as food additive (sweetener) and setting of specifications.</t>
  </si>
  <si>
    <t>G/SPS/N/TUR/46</t>
  </si>
  <si>
    <t>Turkish Food Codex Communique on Monitoring of Temperatures at the Stages of Transport  Storage and Preservation of Quick Frozen Food Intended for Human Consumption</t>
  </si>
  <si>
    <t>This Communique covers monitoring of temperatures at the stages of transport  storage and preservation of quick frozen food intended for human consumption.</t>
  </si>
  <si>
    <t>Quick frozen food intended for human consumption</t>
  </si>
  <si>
    <t>G/SPS/N/TUR/45</t>
  </si>
  <si>
    <t>Turkish Food Codex Communique on Quick-Frozen Food</t>
  </si>
  <si>
    <t>This Communique covers quick-frozen food. This Communique does not cover ice cream and other edible ices.</t>
  </si>
  <si>
    <t>Quick frozen food</t>
  </si>
  <si>
    <t>G/SPS/N/TPKM/302/Add.1</t>
  </si>
  <si>
    <t>G/SPS/N/CAN/613/Rev.1/Add.5</t>
  </si>
  <si>
    <t>G/SPS/N/KOR/474</t>
  </si>
  <si>
    <t>1. Modify the terminologies and phrases  2. Establish the standard for cadmium in fruits and fish: - Fruits: below 0.05 mg/kg  - Fish: below 0.1 mg/kg for fresh water and migratory fish  below 0.2 mg/kg for marine fish. 3. Revise the preservation and distribution standards for sterilized tofu and ice  4. Revise the manufacturing and processing standards for ice candy  5. Revise the content of non-fat milk solids in beverages  6. Revise the general test methods for microorganisms and heavy metals  7. Revise the standard for the usage of Epimedium koreanum Nakai as raw food material  8. Establish and revise the maximum residue limits for pesticides in food (14 pesticides including dicamba  etc.)  and 9. Revise the guideline for the establishment of maximum residue limits for pesticides and veterinary drugs in food.</t>
  </si>
  <si>
    <t>Bacteria  Contaminants  Food safety  Heavy metals  Human health  Maximum residue limits (MRLs)  Pesticides</t>
  </si>
  <si>
    <t>G/SPS/N/JPN/350</t>
  </si>
  <si>
    <t>Authorization of Biotin as food additives and establishment of standards and specifications.</t>
  </si>
  <si>
    <t>Food additive (Biotin)</t>
  </si>
  <si>
    <t>G/SPS/N/TPKM/314</t>
  </si>
  <si>
    <t>The draft amends the standard for the substances which are used to disinfect or clean food and food-contact surfaces in food utensils  food containers and food packaging.</t>
  </si>
  <si>
    <t>G/SPS/N/VNM/55</t>
  </si>
  <si>
    <t>Circular on Maximum Residue Limits of Pesticides in Food</t>
  </si>
  <si>
    <t>Maximum Residue Limits of pesticides in foods.</t>
  </si>
  <si>
    <t>G/SPS/N/KOR/473</t>
  </si>
  <si>
    <t>Proposed Draft Amendments to the Standards and Specifications for Novel Food Ingredients</t>
  </si>
  <si>
    <t>The proposed amendments seek to revise the requirements for the safety assessment of novel food ingredients. Submission of animal toxicity study data on novel food ingredients can be exempted  if it satisfies the following conditions: A. Is it the raw material itself? (including exclusive parts such as leaves) B. Has it been authorized or permitted as a food ingredient in other countries? C. Is it used for certain purposes such as appetite depressant  sexual function enhancer and etc.? D. Have any side effects such as toxicity or allergic response been reported?</t>
  </si>
  <si>
    <t>Food standard</t>
  </si>
  <si>
    <t>G/SPS/N/JPN/346</t>
  </si>
  <si>
    <t>Authorization of Glutamyl-valyl-glycine as a food additive and establishment of standards and specifications.</t>
  </si>
  <si>
    <t>Food additive (Glutamyl-valyl-glycine)</t>
  </si>
  <si>
    <t>G/SPS/N/EU/75</t>
  </si>
  <si>
    <t>Commission Regulation amending Commission Regulation (EU) No 10/2011 on plastic materials and articles intended to come into contact with food (Text with EEA relevance)</t>
  </si>
  <si>
    <t>The proposed Commission Regulation is amending and correcting Commission Regulation (EU) No 10/2011 on plastic materials and articles intended to come into contact with food. Regulation (EU) No 10/2011 of 15 January 2011 is a specific Regulation within the meaning of the framework Regulation (EC) No 1935/2004 which sets out the main principles and procedures applicable to food contact materials. The proposed Commission Regulation is updating the Union list in Annex I to (EU) No 10/2011. It amends the authorisation for nine substances  includes six new substances with a favourable assessment by the European Food Safety Authority (EFSA) for their use in plastic materials and articles intended to come into contact with food  and deletes one authorisation.</t>
  </si>
  <si>
    <t xml:space="preserve"> HS codes: 3919  3920  3923  3924 </t>
  </si>
  <si>
    <t>G/SPS/N/VNM/54</t>
  </si>
  <si>
    <t>Circular on Revision of the Circular guiding the management of food additives</t>
  </si>
  <si>
    <t>Revision of standards for specification  scope  application and limitation of food additives.</t>
  </si>
  <si>
    <t>G/SPS/N/AUS/339</t>
  </si>
  <si>
    <t>Proposal to Amend Standard 1.4.2 of the Australia New Zealand Food Standards Code (6 May 2014 - Proposed amendment (Agricultural and Veterinary Chemicals Code Instrument No. 4 (MRL Standard) Amendment Instrument 2014 (No. 5)))</t>
  </si>
  <si>
    <t>G/SPS/N/OMN/51</t>
  </si>
  <si>
    <t>Puffed Grain</t>
  </si>
  <si>
    <t>This Omani/Gulf draft technical regulation concerns puffed grain fit for human consumption. Items related to requirements  packaging  transportation and storage  and labelling (items 5  7 and 8) are compulsory. The remaining items are voluntary.</t>
  </si>
  <si>
    <t>Puffed grain (ICS Code: 67.060)</t>
  </si>
  <si>
    <t>G/SPS/N/CAN/811</t>
  </si>
  <si>
    <t>Proposed Maximum Residue Limit: Cyflumetofen (PMRL2014-16)</t>
  </si>
  <si>
    <t>The objective of the notified document PMRL2014-16 is to consult on the listed maximum residue limits (MRLs) that have been proposed by the Health Canada's Pest Management Regulatory Agency (PMRA). MRL (ppm) Raw Agricultural Commodity (RAC) and/or Processed Commodity 16 Citrus oil 0.6 Small fruits vine climbing except fuzzy kiwifruit (Crop Subgroup 13-07F)  low growing berries (Crop Subgroup 13-07G)  apple sauce 0.4 Citrus peel  tomatoes 0.3 Citrus fruits (Crop Group 10-revised)  pome fruits (Crop Group 11-09) 0.03 Fat  meat and meat by-products of cattle  goats  horses and sheep 0.01 Tree nuts (Crop Group 14-11) 0.003 Milk ppm = parts per million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t>
  </si>
  <si>
    <t>G/SPS/N/GHA/1</t>
  </si>
  <si>
    <t>National Food Safety Policy</t>
  </si>
  <si>
    <t>The aim of the National Food Safety Policy is to establish and maintain an integrated farm to fork food safety system that ensures consumer health and public safety for all plant and animal food products. This policy seeks to coordinate the regulation of food safety and to define the role of stakeholders to ensure public health and trade in food. It also aims to: - establish a mechanism for coordinating food safety related activities in Ghana by ensuring harmonisation and institutional cooperation among the relevant stakeholders  - strengthen the surveillance system for food borne diseases  including early warning and crisis management mechanisms  and - coordinate and strengthen existing laboratories and establish new laboratories deemed necessary to ensure food safety.</t>
  </si>
  <si>
    <t>All plant and animal food products</t>
  </si>
  <si>
    <t xml:space="preserve"> HS codes: 06  08  02  07 </t>
  </si>
  <si>
    <t>G/SPS/N/EU/64/Add.2</t>
  </si>
  <si>
    <t>G/SPS/N/USA/2465/Add.1</t>
  </si>
  <si>
    <t>Confectionery  ice cream &amp; frozen desserts  dessert coatings &amp; toppings  beverage mixers and powders  yogurts  custard &amp; puddings  ready-to-eat cereals</t>
  </si>
  <si>
    <t>G/SPS/N/TPKM/312</t>
  </si>
  <si>
    <t>Draft Standards for Sanitation and Pesticide Residue Limits in Infant Foods</t>
  </si>
  <si>
    <t>The draft will amend the maximum level of microorganism  tolerance of mycotoxins and heavy metal etc. for infant foods.</t>
  </si>
  <si>
    <t>Bacteria  Contaminants  Food safety  Heavy metals  Human health  Mycotoxins  Toxins</t>
  </si>
  <si>
    <t>G/SPS/N/BRA/728/Add.1</t>
  </si>
  <si>
    <t>Food and beverage</t>
  </si>
  <si>
    <t>G/SPS/N/SGP/52/Add.1</t>
  </si>
  <si>
    <t>G/SPS/N/TPKM/300/Add.1</t>
  </si>
  <si>
    <t>Imported food</t>
  </si>
  <si>
    <t>G/SPS/N/USA/2658</t>
  </si>
  <si>
    <t>New Animal Drugs for Use in Animal Feeds  Withdrawal of Approval of New Animal Drug Applications  Bambermycins  Hygromycin B  Lincomycin  Pyrantel  Tylosin  Tylosin and Sulfamethazine  Virginiamycin</t>
  </si>
  <si>
    <t>The Food and Drug Administration (FDA) is amending its animal drug regulations to reflect the withdrawal of approval of 19 new animal drug applications (NADAs) for certain Type A medicated articles and Type B medicated feeds. This action is being taken at the sponsors' request because these products are no longer manufactured or marketed.</t>
  </si>
  <si>
    <t>Animal feeds</t>
  </si>
  <si>
    <t xml:space="preserve"> HS codes: 23  01 </t>
  </si>
  <si>
    <t>Animal feed  Animal health  Feed additives  Veterinary drugs</t>
  </si>
  <si>
    <t>G/SPS/N/HKG/39</t>
  </si>
  <si>
    <t>Microbiological Guidelines for Food</t>
  </si>
  <si>
    <t>Microbiological Guidelines for Food are criteria indicating the microbiological condition of the food items when there are no established microbiological standards. They also supplement any existing legislative microbiological standards so as to reflect the safety and hygienic quality of the food. The purpose of this set of Guidelines is to provide assistance to health officers in the interpretation of microbiological analyses of foods and give recommendations on the appropriate follow-up action to monitor and control food safety. The microbiological criteria for (i) ready-to-eat food in general - Aerobic colony count (ACC) and Hygiene indicator organisms  (ii) ready-to-eat food in general - specific foodborne pathogens  and (iii) specific food items are listed in Chapter I to III of the Guidelines respectively.</t>
  </si>
  <si>
    <t>G/SPS/N/TPKM/291/Rev.1/Add.1</t>
  </si>
  <si>
    <t>Dog and cat food  pet chew (HS Code: 2309.10)</t>
  </si>
  <si>
    <t xml:space="preserve"> HS codes: 230910 </t>
  </si>
  <si>
    <t>G/SPS/N/TPKM/311</t>
  </si>
  <si>
    <t>Amendments of standards for specification  scope  application and limitation of aluminium-containing food additives.</t>
  </si>
  <si>
    <t>G/SPS/N/USA/2656</t>
  </si>
  <si>
    <t>Eastman Chemical Company  Filing of Food Additive Petition</t>
  </si>
  <si>
    <t>The Food and Drug Administration is announcing that we have filed a petition  submitted by Eastman Chemical Company  proposing that the food additive regulations be amended to remove the upper bound of the melting point range in the regulation for the antioxidant TBHQ (tertiary butylhydroquinone) and add a purity acceptance criterion. The food additive petition was filed on 11 March 2014.</t>
  </si>
  <si>
    <t>G/SPS/N/BRA/933</t>
  </si>
  <si>
    <t>Draft resolution regarding the active ingredient DIFENOCONAZOLE of the monograph list of active ingredients for pesticides  household cleaning products and wood preservers  published by Resolution - RE n° 165 of 29 August 2003  Brazilian Official Gazette (DOU Diário Oficial da União) of 2 September 2003. Inclusion of the culture of corn (MRL 0.01mg/kg and safety security period of 30 days) to the active ingredient DIFENOCONAZOLE of the monograph list of active ingredients for pesticides  household cleaning products and wood preservers.</t>
  </si>
  <si>
    <t>Draft resolution regarding the active ingredient DIFENOCONAZOLE of the monograph list of active ingredients for pesticides  household cleaning products and wood preservers (inclusion of the culture of corn MRL 0.01mg/kg and safety security period of 30 days  to this active ingredient)  including foliar application in cultures of avocado (0.3mg/kg safety security period of 14 days)  zucchini (0.06mg/kg safety security period of 3 days)  poplar (non-food use)  lettuce (0.5mg/kg safety security period of 14 days)  cotton (0.3mg/kg safety security period of 21 days)  garlic (0.02mg/kg safety security period of 14 days)  peanut (0.1mg/kg safety security period of 22 days)  rice (1.0mg/kg safety security period of 45 days)  banana (0.5mg/kg safety security period of 7 days)  potato (0.1mg/kg safety security period of 7 days)  eggplant (0.05mg/kg safety security period of 3 days)  beet (0.1mg/kg safety security period of 3 days)  coffee (0.5mg/kg safety security period of 30 days)  coffee (seedling) (MRL and safety period not determined due to the mode of use)  onion (0.1mg/kg safety security period of 7 days)  carrot (0.2mg/kg safety security period of 15 days)  citrus (0.5mg/kg safety security period of 7 days)  coconut (0.1mg/kg safety security period of 14 days)  cauliflower (1.0mg/kg safety security period of 14 days)  pea (0.5mg/kg safety security period of 14 days)  bean (0.5mg/kg safety security period of 25 days)  sunflower (0.04mg/kg safety security period of 14 days)  guava (0.2mg/kg safety security period of 2 days)  apple (0.5mg/kg safety security period of 5 days)  papaya (0.3mg/kg safety security period of 3 days)  mango (0.2mg/kg safety security period of 7 days)  passion fruit (0.05mg/kg safety security period of 14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pepper (0.5mg/kg safety security period of 3 days)  rose (non-food use)  soy (0.05mg/kg safety security period of 30 days)  tomato (0.1mg/kg safety security period of 3 days)  grape (0.2mg/kg safety security period of 21 days). Seeds application in cultures of cotton (0.3mg/kg safety security period not determined due to the mode of use)  peanut (0.1mg/kg safety security period not determined due to the mode of use)  barley (0.05mg/kg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t>
  </si>
  <si>
    <t>Foliar application in cultures of avocado (0.3mg/kg safety security period of 14 days)  zucchini (0.06mg/kg safety security period of 3 days)  poplar (non-food use)  lettuce (0.5mg/kg safety security period of 14 days)  cotton (0.3mg/kg safety security period of 21 days)  garlic (0.02mg/kg safety security period of 14 days)  peanut (0.1mg/kg safety security period of 22 days)  rice (1.0mg/kg safety security period of 45 days)  banana (0.5mg/kg safety security period of 7 days)  potato (0.1mg/kg safety security period of 7 days)  eggplant (0.05mg/kg safety security period of 3 days)  beet (0.1mg/kg safety security period of 3 days)  coffee (0.5mg/kg safety security period of 30 days)  coffee (seedling) (MRL and safety period not determined due to the mode of use)  onion (0.1mg/kg safety security period of 7 days)  carrot (0.2mg/kg safety security period of 15 days)  citrus (0.5mg/kg safety security period of 7 days)  coconut (0.1mg/kg safety security period of 14 days)  cauliflower (1.0mg/kg safety security period of 14 days)  pea (0.5mg/kg safety security period of 14 days)  bean (0.5mg/kg safety security period of 25 days)  sunflower (0.04mg/kg safety security period of 14 days)  guava (0.2mg/kg safety security period of 2 days)  apple (0.5mg/kg safety security period of 5 days)  papaya (0.3mg/kg safety security period of 3 days)  mango (0.2mg/kg safety security period of 7 days)  passion fruit (0.05mg/kg safety security period of 14 days)  watermelon (0.05mg/kg safety security period of 3 days)  melon (0.05mg/kg safety security period of 3 days)  corn (0.01mg/kg safety security period of 30 days)  strawberry (0.5mg/kg safety security period of 1 day)  cucumber (0.02mg/kg safety security period of 1 day)  peach (2.0mg/kg safety security period of 10 days)  pepper (0.5mg/kg safety security period of 3 days)  rose (non-food use)  soy (0.05mg/kg safety security period of 30 days)  tomato (0.1mg/kg safety security period of 3 days)  grape (0.2mg/kg safety security period of 21 days). Seeds application in cultures of cotton (0.3mg/kg safety security period not determined due to the mode of use)  peanut (0.1mg/kg safety security period not determined due to the mode of use)  barley (0.05mg/kg safety security period not determined due to the mode of use)  bean (0.5mg/kg safety security period not determined due to the mode of use)  soy (0.05mg/kg safety security period not determined due to the mode of use)  wheat (0.05mg/kg safety security period not determined due to the mode of use).</t>
  </si>
  <si>
    <t>G/SPS/N/AUS/338</t>
  </si>
  <si>
    <t xml:space="preserve"> Proposal to Amend Standard 1.4.2 of the Australia New Zealand Food Standards Code (8 April 2014 - Proposed amendment (Agricultural and Veterinary Chemicals Code Instrument No. 4 (MRL Standard) Amendment Instrument 2014 (No. 4)))</t>
  </si>
  <si>
    <t xml:space="preserve"> HS codes: 3808  3004 </t>
  </si>
  <si>
    <t>G/SPS/N/BRA/729/Rev.1</t>
  </si>
  <si>
    <t>Requisitos Sanitários Brasileiros para Importação de Rações Úmidas para Animais de Companhia (Sanitary requirements governing the importation into Brazil of moist pet food).</t>
  </si>
  <si>
    <t>The notified text lays down the sanitary requirements governing the importation into Brazil of moist pet food.</t>
  </si>
  <si>
    <t>Moist pet food</t>
  </si>
  <si>
    <t>Animal feed  Animal health  Certification  control and inspection</t>
  </si>
  <si>
    <t>G/SPS/N/USA/703/Add.4</t>
  </si>
  <si>
    <t>Food for human consumption in the United States and certain food for animal consumption in the United States  except for meat  poultry and egg products that are exclusively regulated by the U.S. Department of Agriculture.</t>
  </si>
  <si>
    <t>G/SPS/N/EU/15/Add.4</t>
  </si>
  <si>
    <t>Feed and food from certain regions of Japan</t>
  </si>
  <si>
    <t>G/SPS/N/BRA/930</t>
  </si>
  <si>
    <t>Draft resolution regarding the active ingredient PYRACLOSTROBIN to be included in the monograph list of active ingredients for pesticides  household cleaning products and wood preservers  published by Resolution - RE n° 165 of 29 August 2003  Brazilian Official Gazette (DOU Diário Oficial da União) of 2 September 2003</t>
  </si>
  <si>
    <t>Draft Resolution regarding the active ingredient PYRACLOSTROBIN to be included in the monograph list of active ingredients of pesticides  household cleaning products and wood preservers  including the use in foliar application in cultures of cotton (0.2mg/kg safety security period of 7 days)  garlic (0.1mg/kg safety security period of 7 days)  peanut (0.1mg/kg safety security period of 14 days)  oat (1.0mg/kg safety security period of 30 days)  banana (0.5mg/kg safety security period of 3 days)  potato (0.01mg/kg safety security period of 3 days)  coffee (0.5mg/kg safety security period of 45 days)  sugarcane (0.1mg/kg safety security period of 30 days)  onion (0.5mg/kg safety security period of 7 days)  carrot (0.2mg/kg safety security period of 7 days)  barley (1.0mg/kg safety security period of 30 days)  citrus (0.5mg/kg safety security period of 14 days)  chrysanthemum (non-food use)  eucalyptus (non-food use)  bean (0.1mg/kg safety security period of 14 days)  apple (2.0mg/kg safety security period of 14 days)  papaya (0.1mg/kg safety security period of 7 days)  mango (0.1mg/kg safety security period of 7 days)  watermelon (0.1mg/kg safety security period of 7 days)  melon (0.1mg/kg safety security period of 7 days)  corn (0.1mg/kg safety security period of 45 days)  cucumber (0.05mg/kg safety security period of 7 days)  pepper (1.0mg/kg safety security period of 3 days)  rose (non-food use)  soy (0.1mg/kg safety security period of 14 days)  tomato (0.2mg/kg safety security period of 1 day)  wheat (0.5mg/kg safety security period of 30 days)  grape (2.0mg/kg safety security period of 7 days). Seeds application in cultures of cotton (0.2mg/kg safety security period not determined due to the mode of use  peanut (0.1mg/kg safety security period not determined due to the mode of use)  rice (0.02mg/kg safety security period not determined due to the mode of use)  barley (1.0mg/kg safety security period not determined due to the mode of use)  bean (0.1mg/kg safety security period not determined due to the mode of use)  corn (0.1mg/kg safety security period not determined due to the mode of use)  soy (0.1mg/kg safety security period not determined due to the mode of use)  sorgho (0.02mg/kg safety security period not determined due to the mode of use)  wheat (0.5mg/kg safety security period not determined due to the mode of use). Plantation furrow application in cultures of potato (0.01mg/kg safety security period not determined due to the mode of use). Seedpieces (plantation) application in cultures of sugarcane (0.1mg/kg safety security period not determined due to the mode of use).</t>
  </si>
  <si>
    <t>Foliar application in cultures of cotton (0.2mg/kg safety security period of 7 days)  garlic (0.1mg/kg safety security period of 7 days)  peanut (0.1mg/kg safety security period of 14 days)  oat (1.0mg/kg safety security period of 30 days)  banana (0.5mg/kg safety security period of 3 days)  potato (0.01mg/kg safety security period of 3 days)  coffee (0.5mg/kg safety security period of 45 days)  sugarcane (0.1mg/kg safety security period of 30 days)  onion (0.5mg/kg safety security period of 7 days)  carrot (0.2mg/kg safety security period of 7 days)  barley (1.0mg/kg safety security period of 30 days)  citrus (0.5mg/kg safety security period of 14 days)  chrysanthemum (non-food use)  eucalyptus (non-food use)  bean (0.1mg/kg safety security period of 14 days)  apple (2.0mg/kg safety security period of 14 days)  papaya (0.1mg/kg safety security period of 7 days)  mango (0.1mg/kg safety security period of 7 days)  watermelon (0.1mg/kg safety security period of 7 days)  melon (0.1mg/kg safety security period of 7 days)  corn (0.1mg/kg safety security period of 45 days)  cucumber (0.05mg/kg safety security period of 7 days)  pepper (1.0mg/kg safety security period of 3 days)  rose (non-food use)  soy (0.1mg/kg safety security period of 14 days)  tomato (0.2mg/kg safety security period of 1 day)  wheat (0.5mg/kg safety security period of 30 days)  grape (2.0mg/kg safety security period of 7 days). Seeds application in cultures of cotton (0.2mg/kg safety security period not determined due to the mode of use  peanut (0.1mg/kg safety security period not determined due to the mode of use)  rice (0.02mg/kg safety security period not determined due to the mode of use)  barley (1.0mg/kg safety security period not determined due to the mode of use)  bean (0.1mg/kg safety security period not determined due to the mode of use)  corn (0.1mg/kg safety security period not determined due to the mode of use)  soy (0.1mg/kg safety security period not determined due to the mode of use)  sorgho (0.02mg/kg safety security period not determined due to the mode of use)  wheat (0.5mg/kg safety security period not determined due to the mode of use). Plantation furrow application in cultures of potato (0.01mg/kg safety security period not determined due to the mode of use). Seedpieces (plantation) application in cultures of sugarcane (0.1mg/kg safety security period not determined due to the mode of use).</t>
  </si>
  <si>
    <t>G/SPS/N/EU/70</t>
  </si>
  <si>
    <t>Annexes to "Draft Commission Regulation amending Annexes II and III to Regulation (EC) No 396/2005 of the European Parliament and of the Council as regards maximum residue levels for amitrole  dinocap  fipronil  flufenacet  guazatine  pendimethalin  propyzamide  and pyridate in or on certain products (Text with EEA relevance)"</t>
  </si>
  <si>
    <t>These notified annexes to the draft Regulation set proposed maximum residue levels (MRLs) for amitrole  dinocap  fipronil  flufenacet  guazatine  pendimethalin  propyzamide  and pyridate in Annex 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authorised any more in the European Union or for which there is not enough data for an MRL to be set.</t>
  </si>
  <si>
    <t xml:space="preserve"> HS codes: 1008  1002  0206  1006  1004  1001  0203  0207  0202  0208  0209  0201  0205  0204  1007  1005  0210  1003 </t>
  </si>
  <si>
    <t>G/SPS/N/EU/71</t>
  </si>
  <si>
    <t>Annexes to "Draft Commission Regulation amending Annexes II  III and V to Regulation (EC) No 396/2005 of the European Parliament and of the Council as regards maximum residue levels for benfuracarb  carbaryl  carbofuran  carbosulfan  furathiocarb  procymidone and profenofos in or on certain products" (Text with EEA relevance)</t>
  </si>
  <si>
    <t>These notified annexes to the draft Regulation set proposed maximum residue levels (MRLs) for benfuracarb  carbaryl  carbofuran  carbosulfan  furathiocarb  procymidone and profenofos. MRLs for these substances are lowered in certain commodities. Lower MRLs are set after updating the limit of determinations and/or deleting old uses which are not authorised any more in the European Union or for which a human health concern may not be excluded.</t>
  </si>
  <si>
    <t xml:space="preserve"> HS codes: 0208  0202  0207  1007  0205  0204  0201  0209  0203  1001  1004  1006  1002  0206  1008  0210  1005  1003 </t>
  </si>
  <si>
    <t>G/SPS/N/JPN/337</t>
  </si>
  <si>
    <t>Revision of the Ministerial Ordinance of Standards and Specifications for Safety of Pet Food</t>
  </si>
  <si>
    <t xml:space="preserve">The objective of the revision of the Ministerial Ordinance of Standards and Specifications for Safety of Pet Food is to add the maximum levels in pet food for the listed substances as follows:  Substance    Maximum levels in pet food (1) sodium nitrite    100 µg/g      (2) melamine             2.5 µg/g </t>
  </si>
  <si>
    <t>Pet food (HS Code 23.09 Preparations of a kind used in animal feeding)</t>
  </si>
  <si>
    <t>Animal feed  Feed additives</t>
  </si>
  <si>
    <t>G/SPS/N/EU/57/Add.1</t>
  </si>
  <si>
    <t>Materials and articles in contact with food including catering containers and materials and articles in contact with drinking water (HS Codes: 3919  3920  3923  3924  ICS Code: 67.250)</t>
  </si>
  <si>
    <t xml:space="preserve"> HS codes: 3923  3919  3920  3924 </t>
  </si>
  <si>
    <t>G/SPS/N/EU/69</t>
  </si>
  <si>
    <t>Annexes to "Draft Commission Regulation amending Annexes II  III and V to Regulation (EC) No 396/2005 of the European Parliament and of the Council as regards maximum residue levels for asulam  cyanamide  dicloran  flumioxazin  flupyrsulfuron-methyl  picolinafen and propisochlor in or on certain products (Text with EEA relevance)"</t>
  </si>
  <si>
    <t>These notified annexes to the draft Regulation set proposed maximum residue levels (MRLs) for asulam  cyanamide  dicloran  flumioxazin  flupyrsulfuron-methyl  picolinafen and propisochlor in Annexes II  III and V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</si>
  <si>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 HS codes: 0207  0208  0202  1007  0204  0205  0201  0209  0203  1001  0210  1008  1002  0206  1004  1006  1003  1005 </t>
  </si>
  <si>
    <t>G/SPS/N/CAN/806</t>
  </si>
  <si>
    <t>Proposed Maximum Residue Limit: Halosulfuron-methyl (PMRL2014-09)</t>
  </si>
  <si>
    <t xml:space="preserve">The objective of the notified document PMRL2014-09 is to consult on the listed domestic maximum residue limits (MRLs) for halosulfuron-methyl that have been proposed by the Health Canada's Pest Management Regulatory Agency (PMRA). MRL (ppm) Raw Agricultural Commodity (RAC) and/or Processed Commodity 1.0 Agave  aloe vera  asparagus  bamboo shoots  prickly pear pads  celtuce  fresh Florence fennel leaves and stalks  edible ferns  sea kales  kohlrabies  palm hearts  Texas prickly pear pads  0.5 Crop Subgroup 9B : Squash/ Cucumber  0.2 Meat by-products of cattle  goats  horses and sheep 0.1 Crop Subgroup 9A : Melon 0.05 Crop Group 8-09: Fruiting Vegetables  Crop Subgroup 13-07A: Caneberries     Crop Subgroup 13-07B: Bushberries  Crop Group 14: Tree Nuts   Apples  Dry adzuki beans  dry beans  dry blackeyed peas  dry broad beans  dry catjang seeds  dry chickpeas  dry cowpea seeds  dry guar seeds  dry kidney beans  dry lablab beans  dry lima beans  dry moth beans  dry mung beans  dry navy beans  dry pink beans  dry pinto beans  dry rice beans  dry southern peas  dry tepary beans  dry urd beans  grain lupin   Edible-podded jackbeans  edible-podded moth beans  edible-podded runner beans  edible-podded snap beans  edible-podded sword beans  edible-podded wax beans  edible-podded yardlong beans  Field corn  Popcorn grain  Rhubarb  Sorghum  Sweet corn kernels plus cob with husks removed   0.01 Fat of cattle  goats  horses and sheep  Proso millet         ppm = parts per million  MRLs are proposed for each commodity included in the listed crop groupings in accordance with the Residue Chemistry Crop Groups webpage (http://www.hc-sc.gc.ca/cps-spc/pest/part/protect-proteger/food-nourriture/rccg-gcpcr-eng.php) in the Pesticides and Pest Management section of Health Canada's website. </t>
  </si>
  <si>
    <t>G/SPS/N/BRA/928</t>
  </si>
  <si>
    <t>Draft resolution regarding the active ingredient METCONAZOLE to be included in the monograph list of active ingredients for pesticides  household cleaning products and wood preservers  published by Resolution - RE n° 165 of 29 August 2003  Brazilian Official Gazette (DOU Diário Oficial da União) of 2 September 2003</t>
  </si>
  <si>
    <t>Draft Resolution regarding the active ingredient METCONAZOLE to be included in the monograph list of active ingredients of pesticides  household cleaning products and wood preservers  including the use in foliar application in cultures of cotton (0.2mg/kg safety security period of 14 days)  garlic (0.2mg/kg safety security period of 14 days)  peanut (0.2mg/kg safety security period of 7 days)  potato (0.05mg/kg safety security period of 14 days)  coffee (0.2mg/kg safety security period of 30 days)  onion (0.2mg/kg safety security period of 14 days)  carrot (0.05mg/kg safety security period of 14 days)  chrysanthemum (non-food use)  eucalyptus (non-food use)  bean (0.05mg/kg safety security period of 15 days)  pod bean (0.05mg/kg safety security period of 15 days)  watermelon (0.05mg/kg safety security period of 14 days)  melon (0.1mg/kg safety security period of 14 days)  corn (0.02mg/kg safety security period of 45 days)  strawberry (0.1mg/kg safety security period of 7 days)  pepper (0.1mg/kg safety security period of 7 days)  rose (non-food use)  soy (0.05mg/kg safety security period of 14 days)  tomato (0.05mg/kg safety security period of 7 days)  wheat (0.1mg/kg safety security period of 30 days)  grape (1.0mg/kg safety security period of 7 days).</t>
  </si>
  <si>
    <t>Foliar application in cultures of cotton (0.2mg/kg safety security period of 14 days)  garlic (0.2mg/kg safety security period of 14 days)  peanut (0.2mg/kg safety security period of 7 days)  potato (0.05mg/kg safety security period of 14 days)  coffee (0.2mg/kg safety security period of 30 days)  onion (0.2mg/kg safety security period of 14 days)  carrot (0.05mg/kg safety security period of 14 days)  chrysanthemum (non-food use)  eucalyptus (non-food use)  bean (0.05mg/kg safety security period of 15 days)  pod bean (0.05mg/kg safety security period of 15 days)  watermelon (0.05mg/kg safety security period of 14 days)  melon (0.1mg/kg safety security period of 14 days)  corn (0.02mg/kg safety security period of 45 days)  strawberry (0.1mg/kg safety security period of 7 days)  pepper (0.1mg/kg safety security period of 7 days)  rose (non-food use)  soy (0.05mg/kg safety security period of 14 days)  tomato (0.05mg/kg safety security period of 7 days)  wheat (0.1mg/kg safety security period of 30 days)  grape (1.0mg/kg safety security period of 7 days).</t>
  </si>
  <si>
    <t>G/SPS/N/USA/2645</t>
  </si>
  <si>
    <t>Implementation of the Food and Drug Administration Food Safety Modernization Act Amendments to the Reportable Food Registry Provisions of the Federal Food  Drug  and Cosmetic Act</t>
  </si>
  <si>
    <t>The Food and Drug Administration (FDA) is issuing this advance notice of proposed rulemaking (ANPRM) to solicit comments  data  and information to assist the Agency in implementing the FDA Food Safety Modernization Act (FSMA)  which added new provisions to the Reportable Food Registry (RFR) requirements of the Federal Food  Drug  and Cosmetic Act (the FD&amp;C Act). Under the new provisions  FDA may require a responsible party to also submit to FDA ''consumer-oriented'' information regarding certain reportable foods  including information necessary to enable a consumer to accurately identify whether the consumer is in possession of a reportable food. FDA must prepare and publish on FDA's Internet Web site a one-page summary of the consumer-oriented information that can be easily printed by a grocery store for the purposes of consumer notification. FDA is seeking input on topics including consumer-oriented information submissions  consumer notifications  posting consumer notifications in grocery stores  and grocery stores subject to the new requirements.</t>
  </si>
  <si>
    <t xml:space="preserve"> HS codes: 22  08  07  03  10  21  11  05  20  15  17  18  16  09  19  04  12 </t>
  </si>
  <si>
    <t>Animal feed  Food safety  Human health  Labelling</t>
  </si>
  <si>
    <t>Uruguay</t>
  </si>
  <si>
    <t>G/SPS/N/URY/19</t>
  </si>
  <si>
    <t>Regulación para el control de productos agropecuarios y alimentos para animales para la importación  exportación y abasto. Artículos 375 y 376 de la Ley N° 18.719 (Regulations on the monitoring of the import  export and supply of agricultural products and animal feed. Articles 375 and 376 of Law No. 18.719)</t>
  </si>
  <si>
    <t>The Ministry of Livestock  Agriculture and Fisheries will monitor the import  export and supply of agricultural products and animal feed with a view to verifying that the conditions under which authorizations or approvals were granted have been met. It will also monitor the marketing  sale  import and export of these products when containing residues of phytosanitary and veterinary products  biological residues or other contaminants at levels higher than those laid down in the health  hygiene and safety provisions established for human or animal food at national level or  alternatively  in the Codex Alimentarius.</t>
  </si>
  <si>
    <t>Products or by-products for agricultural or livestock use and those used for animal feed.</t>
  </si>
  <si>
    <t>Animal feed  Animal health  Contaminants  Food safety  Human health  Pesticides  Veterinary drugs</t>
  </si>
  <si>
    <t>G/SPS/N/USA/2644</t>
  </si>
  <si>
    <t>Withdrawal of Approval of New Animal Drug Applications  Chlortetracycline  Sulfathiazole  Penicillin</t>
  </si>
  <si>
    <t>The Food and Drug Administration (FDA) is withdrawing approval of a new animal drug application (NADA) and two abbreviated new animal drug applications (ANADAs) for three-way  fixed-ratio combination drug Type A medicated articles containing chlortetracycline  sulfathiazole  and penicillin. This action is being taken at the sponsor's request because these products are no longer manufactured or marketed.</t>
  </si>
  <si>
    <t>Food-producing animals</t>
  </si>
  <si>
    <t>Animal health  Food safety  Human health  Veterinary drugs</t>
  </si>
  <si>
    <t>G/SPS/N/TPKM/308</t>
  </si>
  <si>
    <t>An announcement was made on amending the Act Governing Food Safety and Sanitation on 5 February 2014. The key features of the new amendment are: the name of the law has been amended from the Act Governing Food Sanitation to the Act Governing Food Safety and Sanitation  the Ministry of Health and Welfare is authorized to set up a food safety fund  registration requirements governing genetically modified (GM) food raw material  importers of GM food raw material are required to establish a traceability system  food businesses are required to send raw ingredients  semi-finished or finished products to laboratories for tests  comprehensive stricter penalties imposed on non-compliant businesses.</t>
  </si>
  <si>
    <t>Biotechnology  Certification  control and inspection  Food safety  Genetically modified organisms  Human health  Traceability</t>
  </si>
  <si>
    <t>G/SPS/N/LKA/28/Add.2</t>
  </si>
  <si>
    <t>Food (Antioxidants) Regulations - 2009</t>
  </si>
  <si>
    <t>G/SPS/N/NZL/502</t>
  </si>
  <si>
    <t>Import Health Standard: Specified Foods for Human Consumption Containing Animal Products</t>
  </si>
  <si>
    <t>Minor changes to Import Health Standard and accompanying Risk Management Proposal for miscellaneous  edible  animal product imports into New Zealand.</t>
  </si>
  <si>
    <t>G/SPS/N/KOR/471</t>
  </si>
  <si>
    <t>The proposed amendment seeks to: 1. Clarify definitions of "good quality and freshness"  "decomposed/deteriorated" and "non-edible parts" in "Requirements of raw materials". 2. Revise Annex 7 in Food Code 2.5.11 and the table of "forbidden veterinary drugs in foods": - Carbadox  olaquindox  dapsone  ronidazole and metronidazole  whose standards are "non-detection" in Annex 7  will move to the table of "forbidden veterinary drugs in foods". 3. Establish and revise the maximum residue limits for pesticides in agricultural products (85 pesticides including iminoctadine  etc.). 4. Establish the maximum residue limits for pesticides in ginseng (benalaxyl  captan  terbufos  spinetoram  sulfoxaflor  fluxapyroxad). 5. Establish and revise the maximum residue limits for veterinary drugs in foods (sulfonamides  zilpaterol  tildipirosin). 6. Revise the classification of veterinary drug residues in foods. 7. Establish and revise analytical methods for pesticide residues in foods: - Revise the analysis method for fluxapyroxad  - Establish the analytical method for sulfuryl fluoride. 8. Establish and revise analysis methods for veterinary drug residues in foods: - Revise the analysis methods for ractopamine and clenbuterol  - Establish the analysis method for tildipirosin.</t>
  </si>
  <si>
    <t>G/SPS/N/IND/84</t>
  </si>
  <si>
    <t>Draft Food Safety and Standards (Food Products Standards and Food Additives) Amendment Regulation  2013. Notification No.1-84/SP (Notification)/FSSAI-2012 dated 5 April 2013</t>
  </si>
  <si>
    <t>Through this draft Food Safety and Standards (Food Products Standards and Food Additives) Amendment Regulation  2013  the use of various food additives in food products have been proposed.</t>
  </si>
  <si>
    <t>Food items including processed food items</t>
  </si>
  <si>
    <t>G/SPS/N/EU/56/Add.1</t>
  </si>
  <si>
    <t>G/SPS/N/EU/52/Add.1</t>
  </si>
  <si>
    <t xml:space="preserve"> HS codes: 0203 </t>
  </si>
  <si>
    <t>G/SPS/N/JPN/336</t>
  </si>
  <si>
    <t>Authorization of Advantame as a food additive and establishment of standards and specifications.</t>
  </si>
  <si>
    <t>Food additive (Advantame)</t>
  </si>
  <si>
    <t>G/SPS/N/AUS/337</t>
  </si>
  <si>
    <t>Proposal to Amend Standard 1.4.2 of the Australia New Zealand Food Standards Code (11 March 2014 - Proposed amendment (Agricultural and Veterinary Chemicals Code Instrument No. 4 (MRL Standard) Amendment Instrument 2014 (No. 3)))</t>
  </si>
  <si>
    <t>G/SPS/N/SAU/100</t>
  </si>
  <si>
    <t>The Kingdom of Saudi Arabia/The Cooperation Council for the Arab States of the Gulf Draft Technical Regulation for: "Sweeteners Permitted for Use in Food Products"</t>
  </si>
  <si>
    <t>Sweeteners permitted for use in food products (ICS Code: 67.180.10)</t>
  </si>
  <si>
    <t>G/SPS/N/EU/47/Add.1</t>
  </si>
  <si>
    <t>G/SPS/N/SAU/98</t>
  </si>
  <si>
    <t>The Kingdom of Saudi Arabia/The Cooperation Council for the Arab States of the Gulf Draft Technical Regulation for: "Puffed Grain"</t>
  </si>
  <si>
    <t>This draft technical regulation refers to puffed grain suitable for human consumption.</t>
  </si>
  <si>
    <t>G/SPS/N/CHN/644</t>
  </si>
  <si>
    <t>National Food Safety Standard: Puffed Foods</t>
  </si>
  <si>
    <t>This standard prescribes puffed foods.</t>
  </si>
  <si>
    <t>Puffed foods</t>
  </si>
  <si>
    <t>G/SPS/N/CHN/638</t>
  </si>
  <si>
    <t>National Food Safety Standard: Health Food</t>
  </si>
  <si>
    <t>This standard applies to all kinds of health food.</t>
  </si>
  <si>
    <t>G/SPS/N/CHN/636</t>
  </si>
  <si>
    <t>National Food Safety Standard: Irradiated Foods</t>
  </si>
  <si>
    <t>This standard applies to foods processed by ionizing radiation. This standard contains the terms and definitions  technical requirements etc.</t>
  </si>
  <si>
    <t>Irradiated foods</t>
  </si>
  <si>
    <t>G/SPS/N/CHN/635</t>
  </si>
  <si>
    <t>National Food Safety Standard of the P.R.C.  Maximum residue limits for pesticides in foods</t>
  </si>
  <si>
    <t>This regulation establishes 164 maximum residue limits (MRLs) for 91 pesticides  including 2 4-D  etc. in foods.</t>
  </si>
  <si>
    <t>G/SPS/N/SAU/96</t>
  </si>
  <si>
    <t>The Kingdom of Saudi Arabia/The Cooperation Council for the Arab States of the Gulf Draft Technical Regulation for: "Additives Permitted for Use In Foodstuffs"</t>
  </si>
  <si>
    <t>Additives permitted for use in foodstuffs (ICS Code: 67.220.20)</t>
  </si>
  <si>
    <t>G/SPS/N/EU/10/Add.1</t>
  </si>
  <si>
    <t>G/SPS/N/EU/7/Add.1</t>
  </si>
  <si>
    <t>G/SPS/N/EU/9/Add.1</t>
  </si>
  <si>
    <t>G/SPS/N/EU/8/Add.1</t>
  </si>
  <si>
    <t>G/SPS/N/KOR/469</t>
  </si>
  <si>
    <t>Draft revision to Regulations on laboratory testing request to MFDS</t>
  </si>
  <si>
    <t>- Clarify and appoint "MFDS-affiliated institutes" as testing laboratories conducting tests that have been requested to MFDS  - Modify "MFDS" to "MFDS and MFDS-affiliated institutes"  - Harmonize terminologies as according to the "Testing and Inspection o</t>
  </si>
  <si>
    <t>Food  livestock product  drug  traditional Korean medicinal substance  medical device  cosmetics</t>
  </si>
  <si>
    <t>G/SPS/N/USA/2593/Add.1</t>
  </si>
  <si>
    <t xml:space="preserve"> HS codes: 11  02  01  12 </t>
  </si>
  <si>
    <t>G/SPS/N/VNM/52</t>
  </si>
  <si>
    <t>Circular on Regulation on risk assessment and management to alive fisheries to be imported as food</t>
  </si>
  <si>
    <t>The Circular provides the content and procedures of risk assessment for alive fisheries to be imported as food. It also provides regulation for risk management in the import  transit and trading of alive fisheries imported to Viet Nam as food.</t>
  </si>
  <si>
    <t>Alive fisheries to be imported to Viet Nam as food</t>
  </si>
  <si>
    <t>G/SPS/N/CAN/769/Add.1</t>
  </si>
  <si>
    <t>Pesticide chlorantraniliprole in or on various food commodities (ICS Codes: 65.020  65.100  67.040  67.080  67.100  67.120  67.200)</t>
  </si>
  <si>
    <t>G/SPS/N/JPN/334</t>
  </si>
  <si>
    <t>Authorization of beta-Apo-8'-carotenal as food additives and establishment of standards and specifications.</t>
  </si>
  <si>
    <t>Food additive (beta-Apo-8'-carotenal)</t>
  </si>
  <si>
    <t>G/SPS/N/TPKM/305</t>
  </si>
  <si>
    <t>Draft amendments to the "Quarantine Requirements for the Importation of Processed Products Containing Meat"</t>
  </si>
  <si>
    <t>1. Adjust and clarify the control scope of "Quarantine Requirements for the Importation of Processed Products Containing Meat". Products categorized as C.C.C. Codes 1902.30.10.10-7 "Instant noodles  containing meat"  1904.10.20.11-6 "Instant rice gruel  containing meat" and 2104.10.21.00-4 "Meat soups and other broths and preparations therefore  solid or powder" are exempt from the quarantine requirements. 2. Heat-treatment requirements for processed products containing meat imported from animal disease infected countries (zones) are amended in accordance with OIE guidelines.</t>
  </si>
  <si>
    <t>Processed products containing meat intended for human consumption (HS Codes: 1902.20  1904.10  1904.90 1905.40  2104.10)</t>
  </si>
  <si>
    <t xml:space="preserve"> HS codes: 190490  210410  190410  190540  190220 </t>
  </si>
  <si>
    <t>G/SPS/N/RUS/38/Add.1</t>
  </si>
  <si>
    <t xml:space="preserve"> HS codes: 04  23  02  30  01 </t>
  </si>
  <si>
    <t>G/SPS/N/RUS/25/Add.2</t>
  </si>
  <si>
    <t>G/SPS/N/TUR/34</t>
  </si>
  <si>
    <t>Regulation Amending Turkish Food Codex Regulation on Materials and Articles in Contact with Food</t>
  </si>
  <si>
    <t>The purpose of this amendment is to determine the rules for chemical recycling of plastics that are in contact with food and setting a release limit and labelling rules for aluminium which are in contact with food.</t>
  </si>
  <si>
    <t xml:space="preserve"> HS codes: 3923 </t>
  </si>
  <si>
    <t>G/SPS/N/TPKM/299/Add.1</t>
  </si>
  <si>
    <t>G/SPS/N/SGP/52</t>
  </si>
  <si>
    <t>The Agri-Food &amp; Veterinary Authority of Singapore (AVA) has completed a review of the Food Regulations and proposes the following amendments:  a) To allow the use of the following new food additives: i. Chromium picolinate as a nutrient source of chromium (under the Seventh Schedule). ii. Serine protease (trypsin) from a genetically modified strain of Fusarium venenatum (under the Eighth Schedule). iii. Polygalacturonase from Aspergillus niger (under the Eighth Schedule). iv. Invertase from Saccharomyces cerevisiae (under the Eighth Schedule).  b) To specify a maximum limit for mercury in predatory fish: Singapore proposes to specify a maximum level of 1 ppm for total mercury in predatory fish and their products.   c) To allow the use of phytosterols  phytosterol esters  phytostanols and phytostanols in more food products. The addition of phytosterols/phytostanols is currently limited to only 3 groups of food products: low fat milk  low fat yoghurt  and fat spreads. AVA has conducted a review and note that the Joint FAO/WHO Expert Committee on Food Additives (JECFA) and Food Standards Australia New Zealand (FSANZ) have found no safety issues for the consumption of phytosterols/phytostanols by the general public. As such  there is no need to continue restricting the use of these substances. Nonetheless  the use of phytosterols is proposed to be limited to the following foods to ensure that phytosterols are not added to foods that have the potential to increase blood cholesterol levels: i. edible vegetable fats and oils containing not more than 20g of saturated fat per 100g total fat  and margarine and fat spread containing not more than 27g of saturated fat per 100g total fat  and ii. other foods containing not more than 3g of total fat per 100g or 1.5 g of total fat per 100ml.</t>
  </si>
  <si>
    <t>Biotechnology  Contaminants  Food additives  Food safety  Genetically modified organisms  Heavy metals  Human health</t>
  </si>
  <si>
    <t>G/SPS/N/AUS/336</t>
  </si>
  <si>
    <t>Proposal to Amend Standard 1.4.2 of the Australia New Zealand Food Standards Code (11 February 2014 - Proposed amendment (Agricultural and Veterinary Chemicals Code Instrument No. 4 (MRL Standard) Amendment Instrument 2014 (No. 2)))</t>
  </si>
  <si>
    <t>G/SPS/N/LKA/36</t>
  </si>
  <si>
    <t>The Food (Flavouring Substances and Flavour Enhancers) Regulations 2013</t>
  </si>
  <si>
    <t>These regulations on Food (Flavouring Substances and Flavour Enhancers) cover: - Control of import  manufacture  storage  transport  sale or offer for sale  distribution  use or advertisement of any flavouring substances or flavour enhancers for use in food  - Flavouring substances that are allowed or prohibited  - Solvents permitted to be used in flavouring substances  - Flavour enhancers: i. May be added to foods subject to observance of Good Manufacturing Practices (GMP) and where the label clearly carries a declaration as to the particular substance or substances used  ii. Shall not be added to any food for infants or young children below three years of age. It also includes the following schedules: - Schedule I - List of flavouring substances prohibited to be used in food - Schedule II - List of permitted solvents to be used in flavouring substances - Schedule III - List of foods in which flavour enhancers are prohibited</t>
  </si>
  <si>
    <t>Food flavouring substances and flavour enhancers</t>
  </si>
  <si>
    <t>G/SPS/N/BRA/923/Add.1</t>
  </si>
  <si>
    <t>Foliar application in cultures of banana (0.1mg/kg-safety security period of 3 days)  potato (0.5mg/kg-safety security period of 3 days)  onion (0.5mg/kg-safety security period of 7 days)  carrot (1.0mg/kg-safety security period of 14 days)  citrus (2.0mg/kg-safety security period of 14 days)  gladiolus (non-food use)  apple (1.0mg/kg-safety security period of 14 days)  melon (1.0mg/kg-safety security period of 7 days)  strawberry (1.0mg/kg-safety security period of 3 days)  rose (non-food use)  tomato (1.0mg/kg-safety security period of 3 days) and grape (5.0mg/kg-safety security period of 21 days).</t>
  </si>
  <si>
    <t>G/SPS/N/BRA/921/Add.1</t>
  </si>
  <si>
    <t>Foliar application in cultures of avocado (0.5mg/kg-safety security period of 14 days)  pineapple (0.1mg/kg-safety security period of 30 days)  banana (3.0mg/kg-safety security period not determined due to the type of employment)  citrus (10.0mg/kg-safety security period not determined due to the type of employment)  coconut (0.2mg/kg-safety security period of 14 days)  green pea (0.1 mg/kg-safety security period of 14 days)  bean pod (2.0mg/kg-safety security period of 14 days)  apple (10.0mg/kg-safety security period not determined due to the type of employment)  papaya (6.0mg/kg-safety security period of 14 days)  mango (2.0 mg/kg-safety security period of 14 days)  passion fruit (1.0mg/kg-safety security period of 14 days)  melon (4.0mg/kg-safety security period of 14 days)  pear (10.0 mg/kg-safety security period not determined due to the type of employment) and pepper (2.0mg/kg-safety security period of 14 days). Seed application in cultures of rice (0.2mg/kg-safety security period not determined due to the type of employment)  potato (5.0mg/kg-safety security period not determined due to the type of employment)  bean (0.01mg/kg-safety security period not determined due to the type of employment)  sunflower (0.1mg/kg-safety security period not determined due to the type of employment)  corn (0.2mg/kg-safety security period not determined due to the type of employment)  soybean (0.1mg/kg-safety security period not determined due to the type of employment)  sorghum (0.01mg/kg-safety security period not determined due to the type of employment) and tomato (0.01 mg/kg-safety security period not determined due to the type of employment). Post-harvest application in cultures of avocado (0.5mg/kg-safety security period not determined due to the type of employment)  banana (3.0mg/kg-safety security period not determined due to the type of employment)  citrus (10.0mg/kg-safety security period not determined due to the type of employment)  papaya (6.0mg/kg-safety security period not determined due to the type of employment)  mango (2.0mg/kg-safety security period not determined due to the type of employment) and melon (4.0mg/kg-safety security period not determined due to the type of employment). Industrial vegetative propagules application (seedlings) before planting in culture of sugarcane (0.01mg/kg-safety security period not determined due to the type of employment). Bulbs application in culture of gladiolus (non-food use).</t>
  </si>
  <si>
    <t>G/SPS/N/USA/2631</t>
  </si>
  <si>
    <t>Sanitary Transportation of Human and Animal Food  Proposed Rule</t>
  </si>
  <si>
    <t>The Food and Drug Administration (FDA) is proposing to establish requirements for shippers  carriers by motor vehicle and rail vehicle  and receivers engaged in the transportation of food  including food for animals  to use sanitary transportation practices to ensure the safety of the food they transport. This action is part of FDA's larger effort to focus on prevention of food safety problems throughout the food chain and is part of FDA's implementation of the Sanitary Food Transportation Act of 2005 and the FDA Food Safety Modernization Act of 2011.</t>
  </si>
  <si>
    <t xml:space="preserve"> HS codes: 07  10  08  21  18  17  09  19  05  15  20  03  22  04  12 </t>
  </si>
  <si>
    <t>G/SPS/N/SAU/95</t>
  </si>
  <si>
    <t>The Kingdom of Saudi Arabia/The Cooperation Council for the Arab States of the Gulf Draft Technical Regulation for: "Coloring Matter Used in Foodstuffs"</t>
  </si>
  <si>
    <t>This draft technical regulation applies to natural and synthetic colouring matter added to foodstuffs prepared for human consumption.</t>
  </si>
  <si>
    <t>Colouring matter used in foodstuffs (ICS Code: 67.220.20)</t>
  </si>
  <si>
    <t>G/SPS/N/SAU/94</t>
  </si>
  <si>
    <t>The Kingdom of Saudi Arabia/The Cooperation Council for the Arab States of the Gulf Draft Technical Regulation for: "Maximum Limits of Pesticide Residues in Agricultural and Food Products"</t>
  </si>
  <si>
    <t>This draft technical regulation applies to maximum limits for the pesticide residues in or on foods and agricultural commodities or animal feeds.</t>
  </si>
  <si>
    <t>Maximum limits of pesticide residues in agricultural and food products (ICS Code: 65.100)</t>
  </si>
  <si>
    <t>G/SPS/N/BHR/142</t>
  </si>
  <si>
    <t>Expiration periods of food products - Part 1: Mandatory expiration dates</t>
  </si>
  <si>
    <t>This Gulf Standard concerns mandatory expiration periods for food products.</t>
  </si>
  <si>
    <t>Expiration periods of food products - Part 1: Mandatory expiration dates (ICS: 67.040.00)</t>
  </si>
  <si>
    <t>G/SPS/N/BHR/137</t>
  </si>
  <si>
    <t>Instant Pudding Powder</t>
  </si>
  <si>
    <t>This standard concerns the basic requirements of instant pudding powder which mixes easily in plain water or milk at normal temperature.</t>
  </si>
  <si>
    <t>Instant pudding powder (ICS Code: 67.180)</t>
  </si>
  <si>
    <t>G/SPS/N/BRA/918/Add.1</t>
  </si>
  <si>
    <t>Foliar application (MLR not determined-safety security period not determined) in cultures of coffee  chrysanthemum (non-food use)  eucalyptus (non-food use)  cucumber and soy. Application in aerial part (stem) in culture of Yerba Mate (MLR not determined-safety security period not determined).</t>
  </si>
  <si>
    <t>G/SPS/N/BRA/916/Add.1</t>
  </si>
  <si>
    <t>Foliar application (MLR not determined-safety security period not determined) in cultures of pineapple  squash  zucchini  poplar  alfalfa  cotton peanuts  rice  potatoes  broccoli  coffee  sugarcane  carrot  citrus  coconut  cabbage  cauliflower  palm  bean  eucalyptus (useless for food)  smoke (useless for food)  apple  cassava  passion fruit  watermelon  melon  corn  pastures  cucumber  rubber tree  soybean  tomato  wheat and grape</t>
  </si>
  <si>
    <t>G/SPS/N/BHR/128</t>
  </si>
  <si>
    <t>Foodstuffs: Chilled Marinated Meats</t>
  </si>
  <si>
    <t>This drafted technical regulation concerns chilled marinated meats including red meat  rabbit  ostrich  domesticated birds (whole and pieces) and does not include meat products coated with bread crumb and dough. It explains packaging  transportation  storage and labeling requirements.</t>
  </si>
  <si>
    <t>Foodstuffs: Chilled marinated meats (ICS Code: 67.120)</t>
  </si>
  <si>
    <t>G/SPS/N/KOR/468</t>
  </si>
  <si>
    <t>The proposed amendment seeks to: 1. Revise the standard for the usage of Rhus verniciflua Stokes as raw material in food. - In addition to its water extract  tea bags of Rhus verniciflua Stokes can be used. 2. Revise the preservation and distribution standards of chocolate products.  - Frozen chocolate products can be thawed  and be distributed or preserved at chilled or room temperature. 3. Establish the standard for fluorine in balanced diet for patients. - Fluorine: below 0.2 mg/100kcal. 4. Revise the sampling and handling methods for fishery products. - Specified the water removal method in fishery products so that the water content of samples does not exceed the fishery product's original water content. 5. Establish the maximum residue limits for pesticides (Pyraclostrobin  Methoxyfenozide  Carbosulfan  Carbofuran) remaining in foods and agricultural products. 6. Establish the maximum residue limits for veterinary drugs (Sulpyrine  Cypermethrin  Piperazine  Amikacin  Norgestomet  Rifaximin) remaining in foods. 7. Revise the general test methods.  - Revise the test methods for dioxin and urushiol.  - Establish the test methods for genetically modified food and caffeine.</t>
  </si>
  <si>
    <t>G/SPS/N/AUS/333</t>
  </si>
  <si>
    <t>Proposal to Amend Standard 1.4.2 of the Australia New Zealand Food Standards Code (28 January 2014 - Proposed amendment (Agricultural and Veterinary Chemicals Code Instrument No. 4 (MRL Standard) Amendment Instrument 2014 (No. 1)))</t>
  </si>
  <si>
    <t>G/SPS/N/CAN/796</t>
  </si>
  <si>
    <t>Proposal to amend the List of Maximum Residue Limits (MRLs) for Veterinary Drugs in Foods (Proposed MRL 2014-1)</t>
  </si>
  <si>
    <t>This notification is further to the SPS notification (G/SPS/N/CAN/597/Add.2)  where the Minister of Health has issued a Ministerial Regulation "Marketing Authorization (MA) for Maximum Residue Limits (MRLs) for Veterinary Drugs in Foods" pursuant to section 30.3(1) and 30.5(1) of the Food and Drugs Act.    The online "List of Maximum Residue Limits (MRLs) for Veterinary Drugs in Foods" http://www.hc-sc.gc.ca/dhp-mps/vet/mrl-lmr/mrl-lmr_versus_new-nouveau-eng.php  (List) is incorporated by reference and is maintained on Health Canada's website. Any proposed changes will continue to be the subject of consultation  public and international notification  and the List will then be updated administratively.   The purpose of this proposal is to notify of a consultation on proposed changes to the List. The proposal includes MRLs for new veterinary drugs (for which MRLs have not previously been established)  and for new foods for existing veterinary drugs (for which MRLs have previously been established). The proposal also includes revisions to existing MRLs. Rigorous safety assessments have been conducted to derive these MRLs. Residue compliance for the proposed MRLs has been monitored and confirmed by the Canadian Food Inspection Agency (CFIA).</t>
  </si>
  <si>
    <t>G/SPS/N/EU/42/Add.1</t>
  </si>
  <si>
    <t xml:space="preserve"> HS codes: 0204  0210  1005  1007  0203  0207  0205  1002  0209  0201  1004  0208  1001  0206  1003  1006  1008  0202 </t>
  </si>
  <si>
    <t>G/SPS/N/NPL/20</t>
  </si>
  <si>
    <t>National Standards for Phytosanitary Meaures (NSPM 2  11  14  17  20  21  23  24  26  27  29  31  32  34  35 and 36)</t>
  </si>
  <si>
    <t>NSPM: 2 Framework for Pest Risk Analysis NSPM: 11 Pest risk analysis for quarantine pests including analysis of ecological risk and living modified organisms NSPM: 14 The use of integrated measures in a system approach for pest risk management NSPM: 17 Pest Reporting NSPM: 20 Guidelines for a phytosanitary import regulatory system NSPM: 21 Pest risk analysis for regulated non-quarantine pests NSPM: 23 Guidelines for Inspection  NSPM: 24 Guidelines for determination and recognition of equivalence of phytosanitary measures NSPM: 26 Establishment of Pest Free Areas for Fruit Flies (Tephritidae) NSPM: 27 Diagnostic protocols for regulated pests NSPM: 29 Recognition of pest free areas and areas of low pest prevalence NSPM: 31 Methodologies of samples of consignments NSPM: 32 Categorization of commodities according to their pest risk NSPM: 34 Design and operation of post-entry quarantine stations for plants NSPM: 35 System approach for pest risk management of fruit flies (Tephritidae) NSPM: 36 Integrated measures for plants for planting</t>
  </si>
  <si>
    <t>All the products under scope of Plant Quarantine of Nepal</t>
  </si>
  <si>
    <t xml:space="preserve"> HS codes: 12  20  15  11  13  14  09  17  18  08  10  21  07  22  24  06  23  19 </t>
  </si>
  <si>
    <t>Plant protection  Protect humans from animal/plant pest or disease  Protect territory from other damage from pests</t>
  </si>
  <si>
    <t>Human health  Pests  Plant health  Territory protection</t>
  </si>
  <si>
    <t>G/SPS/N/BRA/923</t>
  </si>
  <si>
    <t>Draft resolution regarding the active ingredient pyrimethanil to be included in the monograph list of active ingredients for pesticides  household cleaning products and wood preservers  published by Resolution - RE n° 165 of 29 August 2003  Brazilian Official Gazette (DOU-Diário Oficial da União) of 2 September 2003</t>
  </si>
  <si>
    <t>Draft Resolution regarding the active ingredient pyrimethanil to be included in the monograph list of active ingredients of pesticides  household cleaning products and wood preservers  including the use in foliar application in cultures of banana (0.1mg/kg-safety security period of 3 days)  potato (0.5mg/kg-safety security period of 3 days)  onion (0.5mg/kg-safety security period of 7 days)  carrot (1.0mg/kg-safety security period of 14 days)  citrus (2.0mg/kg-safety security period of 14 days)  gladiolus (non-food use)  apple (1.0mg/kg-safety security period of 14 days)  melon (1.0mg/kg-safety security period of 7 days)  strawberry (1.0mg/kg-safety security period of 3 days)  rose (non-food use)  tomato (1.0mg/kg-safety security period of 3 days) and grape (5.0mg/kg-safety security period of 21 days).</t>
  </si>
  <si>
    <t>G/SPS/N/BRA/921</t>
  </si>
  <si>
    <t>Draft resolution regarding the active ingredient thiabendazole to be included in the monograph list of active ingredients for pesticides  household cleaning products and wood preservers  published by Resolution - RE n° 165 of 29 August 2003  Brazilian Official Gazette (DOU-Diário Oficial da União) of 2 September 2003</t>
  </si>
  <si>
    <t>Draft Resolution regarding the active ingredient thiabendazole to be included in the monograph list of active ingredients of pesticides  household cleaning products and wood preservers  including the use in foliar application in cultures of avocado (0.5mg/kg-safety security period of 14 days)  pineapple (0.1mg/kg-safety security period of 30 days)  banana (3.0mg/kg-safety security period not determined due to the type of employment)  citrus (10.0mg/kg-safety security period not determined due to the type of employment)  coconut (0.2mg/kg-safety security period of 14 days)  green pea (0.1 mg/kg-safety security period of 14 days)  bean pod (2.0mg/kg-safety security period of 14 days)  apple (10.0mg/kg-safety security period not determined due to the type of employment)  papaya (6.0mg/kg-safety security period of 14 days)  mango (2.0 mg/kg-safety security period of 14 days)  passion fruit (1.0mg/kg-safety security period of 14 days)  melon (4.0mg/kg-safety security period of 14 days)  pear (10.0 mg/kg-safety security period not determined due to the type of employment) and pepper (2.0mg/kg-safety security period of 14 days). Seed application in cultures of rice (0.2mg/kg-safety security period not determined due to the type of employment)  potato (5.0mg/kg-safety security period not determined due to the type of employment)  bean (0.01mg/kg-safety security period not determined due to the type of employment)  sunflower (0.1mg/kg-safety security period not determined due to the type of employment)  corn (0.2mg/kg-safety security period not determined due to the type of employment)  soybean (0.1mg/kg-safety security period not determined due to the type of employment)  sorghum (0.01mg/kg-safety security period not determined due to the type of employment) and tomato (0.01 mg/kg-safety security period not determined due to the type of employment). Post-harvest application in cultures of avocado (0.5mg/kg-safety security period not determined due to the type of employment)  banana (3.0mg/kg-safety security period not determined due to the type of employment)  citrus (10.0mg/kg-safety security period not determined due to the type of employment)  papaya (6.0mg/kg-safety security period not determined due to the type of employment)  mango (2.0mg/kg-safety security period not determined due to the type of employment) and melon (4.0mg/kg-safety security period not determined due to the type of employment). Industrial vegetative propagules application (seedlings) before planting in culture of sugarcane (0.01mg/kg-safety security period not determined due to the type of employment). Bulbs application in culture of gladiolus (non-food use).</t>
  </si>
  <si>
    <t>G/SPS/N/IDN/86</t>
  </si>
  <si>
    <t xml:space="preserve">Regulation of the Head of Indonesian National Agency for Drug and Food Control No. 24 of 2013 concerning  Maximum Limit of Stabilizer as Food Additive </t>
  </si>
  <si>
    <t>This regulation specified the maximum level requirement of stabilizer as food additive in processed food. The names of permitted stabilizer are listed in article 3. The maximum level requirement of stabilizer in each food categories is listed in Annex 1 as integral part of this regulation. The stabilizer in Processed Food must be proved by a certificate of analysis. The type and use of stabilizer other than listed in Annex 1 should only be used after obtaining approval from the Head of NADFC. The stabilizer and Processed Food contain stabilizer which has a marketing approval must adjust with this regulation no later than one year from the date of enactment. The stabilizer and Processed Food contain stabilizer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</si>
  <si>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Stabilizer as food additive</t>
  </si>
  <si>
    <t>G/SPS/N/IDN/85</t>
  </si>
  <si>
    <t xml:space="preserve">Regulation of the Head of Indonesian National Agency for Drug and Food Control No. 23 of 2013 concerning  Maximum Limit of Flavour Enhancer as Food Additive </t>
  </si>
  <si>
    <t>This regulation specified the maximum level requirement of flavour enhancer as food additive in processed food. The names of flavour enhancer which allowed consist of: 1. L-Glutamic acid and its salts (INS 620  621  622  623)  2. Guanylic acid and its salts (INS 626  627  628  629)  3. Inosinic acid and its salts (INS 630  631  632  633)  and 4. Salts of 5-ribonucleotides (INS 634  635). The maximum level requirement of flavour enhancer in each food categories is listed in Annex 1 as integral part of this regulation. The flavour enhancer in Processed Food must be proved by a certificate of analysis. The type and use of flavour enhancer other than listed in Annex 1 should only be used after obtaining approval from the Head of NADFC. The flavour enhancer and Processed Food contain flavour enhancer which has a marketing approval must adjust with this regulation no later than one year from the date of enactment. The flavour enhancer and Processed Food contain flavour enhancer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</si>
  <si>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Flavour enhancer as food additive</t>
  </si>
  <si>
    <t>G/SPS/N/IDN/84</t>
  </si>
  <si>
    <t>Regulation of the Head of Indonesian National Agency for Drug and Food Control No. 22 of 2013 concerning  Maximum Limit of Foaming Agent as Food Additive</t>
  </si>
  <si>
    <t>This regulation specified the maximum level requirement of foaming agent as food additive in processed food. The names of foaming agent which allowed consist of: 1. Xanthan gum (INS 415)  2. Microcrystalline cellulose (INS 460 (i))  and 3. Metyl ethyl cellulose (INS 465). The maximum level requirement of foaming agent in each food categories is listed in Annex 1 as integral part of this regulation. The foaming agent in Processed Food must be proved by a certificate of analysis. The type and use of foaming agent other than listed in Annex 1 should only be used after obtaining approval from the Head of NADFC. The foaming agent and Processed Food contain foaming agent which has a marketing approval must adjust with this regulation no later than one1 year from the date of enactment. The foaming agent and Processed Food contain foaming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</si>
  <si>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Foaming agent as food additive</t>
  </si>
  <si>
    <t>G/SPS/N/IDN/83</t>
  </si>
  <si>
    <t xml:space="preserve">Regulation of the Head of Indonesian National Agency for Drug and Food Control No. 21 of 2013 concerning  Maximum Limit of Color Retention Agent as Food Additive </t>
  </si>
  <si>
    <t>This regulation specified the maximum level requirement of color retention agent as food additive in processed food. The names of color retention agent which allowed consist of: 1. Magnesium carbonate (INS 504 (i))  and 2. Magnesium hydroxide (INS 528). The maximum level requirement of color retention agent in each food categories is listed in Annex 1 as integral part of this regulation. The color retention agent in Processed Food must be proved by a certificate of analysis. The type and use of color retention agent other than listed in Annex 1 should only be used after obtaining approval from the Head of NADFC. The color retention agent and Processed Food contain color retention agent which has a marketing approval must adjust with this regulation no later than one year from the date of enactment. The color retention agent and Processed Food contain color retention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</si>
  <si>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Color retention agent as food additive</t>
  </si>
  <si>
    <t>G/SPS/N/IDN/82</t>
  </si>
  <si>
    <t xml:space="preserve">Regulation of the Head of Indonesian National Agency for Drug and Food Control No. 20 of 2013 concerning  Maximum Limit of Emulsifier as Food Additive </t>
  </si>
  <si>
    <t>This regulation specified the maximum level requirement of emulsifier as food additive in processed food. The names of permitted emulsifier are listed in article 3. The maximum level requirement of emulsifier in each food categories is listed in Annex 1 as integral part of this regulation. The emulsifier in Processed Food must be proved by a certificate of analysis. The type and use of emulsifier other than listed in Annex 1 should only be used after obtaining approval from the Head of NADFC. The emulsifier and Processed Food contain emulsifier which has a marketing approval must adjust with this regulation no later than one year from the date of enactment. The emulsifier and Processed Food contain emulsifier which submitted before the prevailing of this regulation will be processed based on Regulation of Minister of Health No. 722/ Menkes/Per/IX/1988 on Food Additive as amended by Regulation of Minister of Health No. 1168/Menkes/Per/X/1999. The validity period of this marketing approval will be one year.</t>
  </si>
  <si>
    <t>Emulsifier as food additive</t>
  </si>
  <si>
    <t>G/SPS/N/IDN/81</t>
  </si>
  <si>
    <t>Regulation of the Head of Indonesian National Agency for Drug and Food Control No. 19 of 2013 concerning  Maximum Limit of Gelling Agent as Food Additive</t>
  </si>
  <si>
    <t>This regulation specified the maximum level requirement of gelling agent as food additive in processed food. The names of Gelling agent which allowed consist of: 1. Alginic acid (INS 400)   2. Sodium alginate (INS 401)  3. Potassium alginate (INS 402)  4. Calcium alginate (INS 404)  5. Agar (INS 406)  6. Carrageenan (INS 407)  7. Processed eucheuma seaweed (INS 407a)  8. Gellan gum (INS 418)  9. Edible gelatin (INS 428)  and 10. Pectins (INS 440). The maximum level requirement of gelling agent in each food categories is listed in Annex 1 as integral part of this regulation. The gelling agent in Processed Food must be proved by a certificate of analysis. The type and use of gelling agent other than listed in Annex 1 should only be used after obtaining approval from the Head of NADFC. The gelling agent and Processed Food contain gelling agent which has a marketing approval must adjust with this regulation no later than one year from the date of enactment. The gelling agents and Processed Food contain Gelling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</si>
  <si>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Gelling agent as food additive</t>
  </si>
  <si>
    <t>G/SPS/N/IDN/80</t>
  </si>
  <si>
    <t>Regulation of the Head of Indonesian National Agency for Drug and Food Control No. 18 of 2013 concerning  Maximum Limit of Sequestrant as Food Additive</t>
  </si>
  <si>
    <t>This regulation specified the maximum level requirement of sequestrant as food additive in processed food. The names of permitted sequestrant consist of: 1. Calcium disodium ethylene diamine tetra acetate (INS 385)  2. Isopropyl citrates (INS 384)  3. Sodium gluconate (INS 576)  and 4. Potassium gluconate (INS 577). The maximum level requirement of sequestrant in each food categories is listed in Annex 1 as integral part of this regulation. The sequestrant in Processed Food must be proved by a certificate of analysis. The type and use of sequestrant other than listed in Annex 1 should only be used after obtaining approval from the Head of NADFC. The sequestrant and Processed Food contain sequestrant which has a marketing approval must adjust with this regulation no later than one year from the date of enactment. The sequestrant and Processed Food contain sequestrant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</si>
  <si>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Sequestrant as food additive</t>
  </si>
  <si>
    <t>G/SPS/N/IDN/79</t>
  </si>
  <si>
    <t>Regulation of the Head of Indonesian National Agency for Drug and Food Control No. 17 of 2013 concerning  Maximum Limit of Packaging Gas as Food Additive</t>
  </si>
  <si>
    <t>This regulation specified the maximum level requirement of packaging gas as food additive in processed food. The names of permitted packaging gas consist of: 1. Carbon dioxide (INS 290)  and 2. Nitrogen (INS 941). The maximum level requirement of packaging gas in each food categories is listed in Annex 1 as integral part of this regulation. The packaging gas in Processed Food must be proved by a certificate of analysis. The type and use of packaging gas other than listed in Annex 1 should only be used after obtaining approval from the Head of NADFC. The packaging gas and Processed Food contain packaging gas which has a marketing approval must adjust with this regulation no later than one year from the date of enactment. The packaging gas and Processed Food contain packaging gas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</si>
  <si>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Packaging gas as food additive</t>
  </si>
  <si>
    <t>G/SPS/N/IDN/78</t>
  </si>
  <si>
    <t>Regulation of the Head of Indonesian National Agency for Drug and Food Control No. 16 of 2013 concerning  Maximum Limit of Emulsifying Salt as Food Additive</t>
  </si>
  <si>
    <t>This regulation specified the maximum level requirement of emulsifying salt as food additive in processed food. The names of Emulsifying Salt which allowed consist of: 1. Sodium dihydrogen citrate (INS.311(i)) 2. Trisodium citrate (INS.331(iii)) 3. Potassium dihydrogen citrate (INS.332(i)) 4. Tripotassium citrate (INS.332(ii)) 5. Monosodium orthophosphate (INS. 339(i)) 6. Disodium orthophosphate (INS.339(ii)) 7. Trisodium orthophosphate (INS.339(iii)) 8. Monopotassium orthophosphate (INS.340 (i)) 9. Dipotassium orthophosphate (INS.340 (ii)) 10. Tripotassium orthophosphate(INS.340 (iii)) 11. Edible gelatin (INS.428) 12. Disodium diphosphate (INS.450(i) 13. Tetrasodium diphosphate (INS.450 (iii)) 14. Tetrapotassium diphosphate (INS.450 (v)) 15. Dicalcium diphosphate (INS.450 (vi)) 16. Sodium tripolyphosphate (INS.451 (i)) 17. Potassium tripolyphosphate (INS. 451 (ii)) 18. Sodium polyphosphate (INS. 452(i)) 19. Potassium polyphosphate (INS. 452(ii)) 20. Calcium polyphosphates (INS.452 (iv)) 21. Acetic and fatty acid esters of glycerol (INS.472a) 22. Lactic and fatty acid esters of glycerol (INS.472b) 23. Citric and fatty acid esters of glycerol (INS.472c) 24. Diacetyltartaric and fatty acid esters of glycerol (INS.472 e) 25. Sodium gluconate (INS.576) The maximum level requirement of Emulsifying Salt in each food categories is mentioned in Annex 1 as integral part of this regulation. The Emulsifying Salt in Processed Food must be proved by a certificate of analysis. The type and use of Emulsifying Salt other than listed in Annex 1 should only be used after obtaining approval from the Head of NADFC. The Emulsifying Salt and Processed Food contain Emulsifying Salt which has marketing approval must adjust with this regulation no later than one year from the date of enactment. The Emulsifying Salt and Processed Food contain Emulsifying Salt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</si>
  <si>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Emulsifying salt as food additive</t>
  </si>
  <si>
    <t>G/SPS/N/IDN/77</t>
  </si>
  <si>
    <t>Regulation of the Head of Indonesian National Agency for Drug and Food Control No. 15 of 2013 concerning Maximum Limit of Thickener as Food Additive</t>
  </si>
  <si>
    <t>This regulation specified the maximum level requirement of thickener as food additive in processed food. The names of Thickener which allowed consist of: 1. Calcium acetate (INS. 263) 2. Sodium lactate (INS. 325) 3. Calcium lactate ( INS. 327) 4. Alginic acid (INS.400) 5. Sodium alginate (INS.401) 6. Potassium alginate (INS.402) 7. Calcium alginate (INS.404) 8. Propylene glycol alginate (INS.405) 9. Agar (INS.406) 10. Carrageenan(INS.407) 11. Processed eucheuma seaweed (INS.407a) 12. Locust bean gum(INS.410) 13. Guar gum(INS.412) 14. Tragacanth gum (INS.413) 15. Arabic gum (INS.414) 16. Xanthan gum (INS.415) 17. Karaya gum (INS.416) 18. Tara gum (INS.417) 19. Gellan gum (INS.418) 20. Gum ghatti (INS.419) 21. Glycerol (INS.422) 22. Edible gelatin (INS.428) 23. Pectins (INS.440) 24. Glycerol ester of wood rosin (INS.445(iii)) 25. alpha-Cyclodextrin (INS.457) 26. gamma-Cyclodextrin (INS.458) 27. Microcrystalline cellulose (INS.460(i)) 28. Powdered cellulose (INS.460 (ii)) 29. Methyl cellulose (INS.461) 30. Ethyl cellulose (INS.462) 31. Hydroxypropyl cellulose (INS.463) 32. Hydroxypropyl methyl cellulose (INS.464) 33. Methyl ethyl cellulose (INS.465) 34. Sodium carboxymethyl cellulose (INS.466) 35. Sodium carboxymethyl cellulose  enzymatically hydrolysed (INS.469) 36. Mono- and di-glycerides of fatty acids (INS.471) 37. Potassium chloride (INS.508) 38. Calcium chloride (INS.509) 39. Calcium sulphate (INS.516) 40. Potassium hydroxide (INS.525) 41. Bromelain (INS.1101(iii)) 42. Polydextroses (INS.1200) 43. Dextrins (INS.1400) 44. Acid treated starch (INS.1401) 45. Alkaline treated starch (INS.1402) 46. Bleached starch (INS.1403) 47. Oxidized starch (INS.1404) 48. Enzymed treated starch (INS.1405) 49. Mono starch phosphate (INS.1410) 50. Distarch phosphate (INS.1412) 51. Phosphate distarch phosphate (INS.1413) 52. Acetylated Distarch Phosphate (INS.1414) 53. Starch Acetate (INS.1420) 54. Acetylated Distarch Adipate (INS.1422) 55. Hydroxypropyl starch(INS.1440) 56. Hydroxypropyl distarch phosphate (INS.1442) 57. Starch sodium octenyl succinate (INS.1450) 58. Acetylated oxidized starch (INS.1451) 59. Sodium caseinate (INS -) The maximum level requirement of Propellant in each food categories is mentioned in Annex 1 as integral part of this regulation. The Propellant in Processed Food must be proved by a certificate of analysis. The type and use of Propellant other than listed in Annex 1 should only be used after obtaining approval from the Head of NADFC. The Glazing Agent and Processed Food contain Propellant which has marketing approval must adjust with this regulation no later than one year from the date of enactment. The Propellant and Processed Food contain Propellant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</si>
  <si>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Thickener as food additive</t>
  </si>
  <si>
    <t>G/SPS/N/IDN/76</t>
  </si>
  <si>
    <t>Regulation of the Head of Indonesian National Agency for Drug and Food Control No. 14 of 2013 concerning  the Maximum Limit of Propellant as Food Additive</t>
  </si>
  <si>
    <t>This regulation specified the maximum level requirement of propellant as food additive in processed food. The names of Propellant which allowed consist of: 1. Nitrogen (INS.941) 2. Dinitrogen monoxide (INS.942) 3. Propane (INS.944) The maximum level requirement of Propellant in each food categories is mentioned in Annex 1 as integral part of this regulation. The Propellant in Processed Food must be proved by a certificate of analysis. The type and use of Propellant other than listed in Annex 1 should only be used after obtaining approval from the Head of NADFC. The Propellant and Processed Food contain Propellant which has marketing approval must adjust with this regulation no later than one year from the date of enactment. The Propellant and Processed Food contain Propellant which submitted before the prevailing of this regulation will be processed based on Regulation of Minister of Health No. 722/Menkes/Per IX/1988 on Food Additive as amended by Regulation of Minister of Health No. 1168/Menkes/Per/X/1999. The validity period of this marketing approval will be one year.</t>
  </si>
  <si>
    <t>Propellant as food additive</t>
  </si>
  <si>
    <t>G/SPS/N/IDN/75</t>
  </si>
  <si>
    <t>Regulation of the Head of Indonesian National Agency for Drug and Food Control No. 13 of 2013 concerning  the Maximum Limit of Anti Foaming as Food Additive</t>
  </si>
  <si>
    <t>This regulation specified the maximum level requirement of anti-foaming as food additive in processed food. The names of Anti-foaming which allowed consist of: 1. Calcium alginate (INS.404) 2. Mono- and di-glycerides of fatty acids (IN.471) The maximum level of anti-foaming in each food categories is mentioned in Annex 1 as integral part of this regulation. The usage of antifoaming in Processed Food must be proved by a certificate of analysis. The type and use of Anti-foaming other than listed in Annex 1 should only be used after obtaining approval from the Head of NADFC. The Anti-foaming and Processed Food contain Anti-foaming which has a marketing approval must adjust with this regulation no later than one year from the date of enactment. The Anti-foaming and Processed Food contains Anti-foaming which submitted before the prevailing of this regulation will be processed based on Regulation of Minister of Health No. 722/Menkes/Per/IX/1988 on Food Additive as amended by Regulation of Minister of Health No. 1168/Menkes/Per/X/1999  the validity period of the Marketing approval is one year.</t>
  </si>
  <si>
    <t>Anti foaming as food additive</t>
  </si>
  <si>
    <t>G/SPS/N/IDN/74</t>
  </si>
  <si>
    <t>Regulation of the Head of Indonesian National Agency for Drug and Food Control No. 12 of 2013 concerning  the Maximum Limit of Glazing Agent as Food Additive</t>
  </si>
  <si>
    <t>This regulation specified the maximum level requirement of glazing agent as food additive in processed food. The names of Glazing Agent which allowed consist of: 1. Beeswax (INS. 901) 2. Candelilla Wax Potassium Lactate (INS. 902) 3. Carnauba Wax (INS. 903) 4. Shellac (INS. 904) 5. Microcrystaline Wax (INS. 905c(i)) The maximum level requirement of Glazing Agent in each food categories is mentioned in Annex 1 as integral part of this regulation. The Glazing Agent in Processed Food must be proved by a certificate of analysis. The type and use of Glazing Agent other than listed in Annex 1 should only be used after obtaining approval from the Head of NADFC. The Glazing Agent and Processed Food contain Glazing Agent which has marketing approval must adjust with this regulation no later than one year from the date of enactment. The Glazing Agent and Processed Food contain Glazing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</si>
  <si>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Glazing agent as food additive</t>
  </si>
  <si>
    <t>G/SPS/N/IDN/73</t>
  </si>
  <si>
    <t>Regulation of the Head of Indonesian National Agency for Drug and Food Control No. 11 of 2013 concerning  the Maximum Limit of Raising Agent as Food Additive</t>
  </si>
  <si>
    <t>This regulation specified the maximum level requirement of Raising Agent as food additive in processed food. The names of Raising Agent which allowed consist of: 1. Sodium carbonate (INS.500(i)) 2. Sodium hydrogen carbonate (INS.500(ii))  3. Potassium hydrogen carbonate (INS. 501(ii))  4. Ammonium carbonate (INS. 503(i))  5. Ammonium hydrogen carbonate (INS. 503(ii))  6. Sodium aluminium phosphate (INS. 541 (i))  7. Glucono delta lactone (INS 575)  8. Dextrins (INS 1400)  and 9. Starch acetate (INS 1420). The maximum level requirement of Raising Agent in each food categories is mentioned in Annex 1 as integral part of this regulation. The Raising Agent in Processed Food must be proved by a certificate of analysis. The type and use of Raising Agent other than listed in Annex 1 should only be used after obtaining approval from the Head of NADFC. The Raising Agent and Processed Food contain Raising Agent which has a marketing approval must adjust with this regulation no later than one year from the date of enactment. The Raising Agent and Processed Food contain Raising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</si>
  <si>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Raising agent as food additive</t>
  </si>
  <si>
    <t>G/SPS/N/IDN/72</t>
  </si>
  <si>
    <t>Regulation of the Head of Indonesian National Agency for Drug and Food Control No. 10 of 2013 concerning  the Maximum Limit of Anticaking Agent as Food Additive</t>
  </si>
  <si>
    <t>This regulation specified the maximum level requirement of anticaking agent as food additive in processed food. The names of permitted anticaking agent consist of: 1. Calcium carbonate (INS 170 (i))  2. Tricalcium orthophosphate (INS 341 (iii))  3. Microcrystalline cellulose (INS 460 (i)  4. Powdered cellulose (INS 460 (ii)  5. Myristic  palmitic &amp; stearic acids and their salts (INS 470 (i)  470 (iii)  6. Salts of oleic acid with calcium  potassium  and sodium (INS 470 (ii))  7. Sodium carbonate (INS 500 (i)) 8. Magnesium carbonate (INS 504 (i))  9. Magnesium oxide (INS 530)  10. Sodium ferrocyanide (INS 535)  11. Potassium ferrocyanide (INS 536)  12. Calcium ferrocyanide (INS 538)  13. Silicon dioxide  amorphous (INS 551)  14. Calcium silicate (INS 552) 15. Sodium aluminosilicate (INS 554)  and 16. Magnesium silicate (INS 553 (i)). The maximum level requirement of anticaking agent in each food categories is listed in Annex 1 as integral part of this regulation. The anticaking agent in Processed Food must be proved by a certificate of analysis. The type and use of anticaking agent other than listed in Annex 1 should only be used after obtaining approval from the Head of NADFC. The anticaking agent and Processed Food contain anticaking agent which has a marketing approval must adjust with this regulation no later than one year from the date of enactment. The anticaking agent and Processed Food contain anticaking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</si>
  <si>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Anticaking agent as food additive</t>
  </si>
  <si>
    <t>G/SPS/N/IDN/71</t>
  </si>
  <si>
    <t>Regulation of the Head of Indonesian National Agency for Drug and Food Control No. 9 of 2013 concerning  The Maximum Limit of Firming Agent as Food Additive</t>
  </si>
  <si>
    <t>This regulation specified the maximum level requirement of Firming Agent as food additive in processed food. The names of Firming Agent which allowed consist of: 1. Calcium lactate (INS. 327)  2. Tricalcium citrate (INS.333 (iii))  3. Potassium chloride (INS.508)  4. Calcium chloride (INS.509)  5. Calcium sulphate (INS.516)  dan 6. Calcium gluconate (INS.578) The maximum level requirement of Firming Agent in each food categories is mentioned in Annex 1 as integral part of this regulation. The Firming Agent in Processed Food must be proved by a certificate of analysis. The type and use of Firming Agent other than listed in Annex 1 should only be used after obtaining approval from the Head of NADFC. The Firming Agent and Processed Food contain Firming Agent which has a marketing approval must adjust with this regulation no later than one year from the date of enactment. The Firming Agent and Processed Food contain Firming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</si>
  <si>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Firming agent as food additive</t>
  </si>
  <si>
    <t>G/SPS/N/IDN/70</t>
  </si>
  <si>
    <t>Regulation of the Head of Indonesian National Agency for Drug and Food Control No. 8 of 2013 concerning  the Maximum Limit of Acidity Regulator as Food Additive</t>
  </si>
  <si>
    <t>This regulation specified the maximum level requirement of Acidity regulator as food additive in processed food. The names of Acidity regulator which allowed consist of: 1. Calcium carbonate (INS.170 (i))  2. Acetic acid (INS.260)  3. Sodium acetate (INS.262i)  4. Calcium acetate (INS. 263)  5. Lactic acid (INS. 270)  6. Malic acid (INS.296)   7. Fumaric acid (INS. 297)  8. Sodium lactate (INS.325)   9. Potassium lactate (INS.326)  10. Calcium lactate (INS.327)  11. L-ammonium lactate (INS.328)  12. Citric acid and its salts (INS.330-333)  13. Tartaric acid and potassium hydrogen tartrate (INS. 334 dan 336 (i)) 14. Orthophosphoric acid (INS.338)  15. Sodium hydrogen malate (INS.350 (i))  16. Sodium malate (INS.350 (ii))  17. Calcium DL- malate (INS.352 (ii))  18. Adipic acid and its salts (INS.355 - 357)  19. Sodium carbonate (INS.500 (i))  20. Sodium hydrogen carbonate (INS.500 (ii))  21. Potassium carbonate (INS.501(i))  22. Potassium hydrogen carbonate (INS.501 (ii))  23. Ammonium carbonate (INS.503 (i))  24. Ammonium hydrogen carbonate (INS.503 (ii))  25. Magnesium carbonate (INS.504 (i))  26. Hydrochloric acid (INS.507)  27. Sodium sulphate (INS.514 (i))  28. Potassium sulphate (INS.515 (ii))  29. Calcium sulphate (INS.516)  30. Sodium hydroxide (INS 524)  31. Potassium hydroxide (INS.525)  32. Calcium hydroxide (INS.526)  33. Magnesium hydroxide (INS.528)  34. Calcium oxide (INS.575)  35. Glucono delta lactone (INS.575)  dan 36. Calcium gluconate (INS.578) The maximum level requirement of Acidity regulator in each food categories is mentioned in Annex 1 as integral part of this regulation. The Acidity regulator in Processed Food must be proved by a certificate of analysis. The type and use of Acidity regulator other than listed in Annex 1 should only be used after obtaining approval from the Head of NADFC. The Acidity regulator and Processed Food contain Acidity regulator which has a marketing approval must adjust with this regulation no later than one year from the date of enactment. The Acidity regulator and Processed Food contain Acidity regulator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</si>
  <si>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Acidity regulator as food additive</t>
  </si>
  <si>
    <t>G/SPS/N/IDN/69</t>
  </si>
  <si>
    <t>Regulation of the Head of Indonesian National Agency for Drug and Food Control No. 7 of 2013 concerning The Maximum Limit of Flour Treatment Agent as Food Additive</t>
  </si>
  <si>
    <t>This regulation specified the maximum level requirement of flour treatment agent as food additive in processed food. The names of Flour Treatment Agent which allowed consist of: 1. L-Ammonium lactate (INS.328) 2. Sodium stearoyl-2-lactylate (INS.481 (i)) 3. Ammonium chloride (INS. 510) 4. Calcium sulphate (INS.516) 5. Calcium oxide (INS.529) 6. alpha-Amylase from Bacillus licheniformis (carbohydrase) (INS.1100) 7. alpha-Amylase from Aspergillus oryzae  var. (INS.1100) 8. alpha-Amylase from Bacillus stearothermophilus(INS.1100) 9. alpha-Amylase from Bacillus stearothermophilus expressed in Bacillus subtilis (INS.1100) 10. alpha-Amylase from Bacillus subtilis (INS.1100) 11. alpha-Amylase from Bacillus megaterium expressed in Bacillus subtilis (INS.1100) 12. Protease from Aspergillus oryzae  var.  (INS.1101 (i)) 13. Papain(INS.1101 (ii)) 14. Bromelain (INS.1101 (iii)) The maximum level requirement of Flour Treatment Agent in each food categories is mentioned in Annex 1 as integral part of this regulation. The Flour Treatment Agent in Processed Food must be proved by a certificate of analysis. The type and use of Flour Treatment Agent other than listed in Annex 1 should only be used after obtaining approval from The Head of NADFC. The Flour Treatment Agent and Processed Food contain Flour Treatment Agent which has a marketing approval must adjust with this regulation no later than one year from the date of enactment. The Flour Treatment Agent and Processed Food contain Flour Treatment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</si>
  <si>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Flour treatment agent as food additive</t>
  </si>
  <si>
    <t>G/SPS/N/IDN/68</t>
  </si>
  <si>
    <t>Regulation of the Head of Indonesian National Agency for Drug and Food Control No. 6 of 2013 concerning  The Maximum Limit of Carrier as Food Additive</t>
  </si>
  <si>
    <t>This regulation specified the maximum level requirement of carrier as food additive in processed food. The names of permitted carrier consist of: 1. Sucrose acetate isobutyrate (INS 444)  2. Triethyl citrate (INS 1505)  3. Propylene glycol (INS 1520)  and 4. Polyethylene glycol (INS 1521). The maximum level requirement of carrier in each food categories is listed in Annex 1 as integral part of this regulation. The carrier in Processed Food must be proved by a certificate of analysis. Carrier only allowed to be used as a carrier of food additive and or nutrients. The present of carriers in processed food expressed as carry over. The type and use of carrier other than listed in Annex 1 should only be used after obtaining approval from The Head of NADFC. The carrier and Processed Food contain carrier which has a marketing approval must adjust with this regulation no later than one year from the date of enactment. The carrier and Processed Food contain carrier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</si>
  <si>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Carrier as food additive</t>
  </si>
  <si>
    <t>G/SPS/N/IDN/67</t>
  </si>
  <si>
    <t>Regulation of the Head of Indonesian National Agency for Drug and Food Control  No.5 of 2013 concerning Maximum Level  of Humectant as Food Additive</t>
  </si>
  <si>
    <t>This regulation specified the maximum level requirement of humectant as food additive in processed food. The names of Humectant which allowed consist of: 1. Sodium Lactate (INS. 325) 2. Potassium Lactate (INS. 326) 3. Sodium Hydrogen Malate (INS. 350 (i)) 4. Sodium Malate (INS. 350 (ii)) 5. Glyserols (INS. 422) 6. Polydextroses (INS. 1200) 7. Triacetin (INS.1518) The maximum level requirement of humectant in each food categories is mentioned in Annex 1 as integral part of this regulation. The Humectant in Processed Food must be proved by a certificate of analysis. The type and use of humectant other than listed in Annex 1 should only be used after obtaining approval from the Head of NADFC. The humectant and Processed Food contain Humectant which has a marketing approval must adjust with this regulation no later than one year from the date of enactment. The humectants and Processed Food contain Humectant which submitted before the prevailing of this regulation will be processed based on Regulation of Minister of Health No. 722/ Menkes/Per/IX/1988 on Food Additive as amended by Regulation of Minister of Health No. 1168/Menkes/Per/X/1999. The validity period of this marketing approval will be one year.</t>
  </si>
  <si>
    <t>Humectant as food additive</t>
  </si>
  <si>
    <t>G/SPS/N/IDN/66</t>
  </si>
  <si>
    <t>Regulation of the Head of Indonesian National Agency for Drug and Food Control No. 4 of 2013 concerning  Maximum Limit of Carbonating Agent as Food Additive</t>
  </si>
  <si>
    <t>This regulation specified the maximum level of carbonating agent as food additive in processed food.  The name of carbonating agent that is allowed to be used in food is Carbon dioxide (INS 290).  The maximum level of carbonating agent in each food categories is mentioned in Annex 1 as integral part of this regulation.  The usage of carbonating agent in processed food must be proved by certificate of analysis.   The type and use of carbonating agent other than listed in Annex 1 should only be used after obtaining approval from the Head of NADFC.  The carbonating agent and processed food contain carbonating food which has a marketing approval must adjust with this regulation no later than one year from the date of enactment.   The carbonating agent and processed food contain carbonating food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</si>
  <si>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Carbonating agent as food additives</t>
  </si>
  <si>
    <t>G/SPS/N/IDN/89</t>
  </si>
  <si>
    <t>Regulation of the Head of Indonesian National Agency for Drug and Food Control No. 38 of 2013 concerning  Maximum Limit of Antioxidant as Food Additive</t>
  </si>
  <si>
    <t>This regulation specified the maximum level requirement of antioxidant as food additive in processed food. The names of food additives allowed to be used as antioxidant are: 1. Ascorbic acid 2. Sodium ascorbate 3. Calcium ascorbate 4. Potassium ascorbate 5. Ascorbyl palmitate 6. Ascorbyl stearate 7. Tocopherol 8. Propyl gallate 9. Erythorbic acid 10. Sodium erythorbate 11. Tertiary butylhydroquinone (TBHQ) 12. Butylated hydroxyanisole (BHA) 13. Butylated hydroxytoluene (BHT) The maximum level requirement of antioxindant in each food categories is listed in Annex 1 as integral part of this regulation. The content of antioxidant in Processed Food must be proved by a certificate of analysis. The type and use of antioxidant other than listed in Annex 1 should only be used after obtaining approval from the Head of NADFC. The antioxidant and Processed Food contain antioxidant which has a marketing approval must adjust with this regulation no later than one year from the date of enactment. The antioxidant and Processed Food contain antioxidant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</si>
  <si>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Antioxidant as food additive</t>
  </si>
  <si>
    <t>G/SPS/N/IDN/88</t>
  </si>
  <si>
    <t>Regulation of the Head of Indonesian National Agency for Drug and Food Control No. 37 of 2013 concerning  Maximum Limit of Coloring Agent as Food Additive</t>
  </si>
  <si>
    <t>This regulation specified the maximum level requirement of coloring agent as food additive in processed food. The names of food additives allowed to be used as coloring agent are: a. Natural color 1. Kurkumin CI. No. 75300 (Curcumin) 2. Riboflavin (Riboflavins) 3. Karmin dan ekstrak cochineal CI. No. 75470 (Carmines and cochineal 4. extract) 5. Klorofil CI. No. 75810 (Chlorophyll) 6. Klorofil dan klorofilin tembaga kompleks CI. No. 75810 (Chlorophylls and chlorophyllins  copper complexes) 7. Karamel I (Caramel I plain) 8. Karamel III amonia proses (Caramel III ammonia process) 9. Karamel IV amonia sulfit proses (Caramel IV-sulphite ammonia process) 10. Karbon tanaman CI. 77266 (Vegetable carbon) 11. Beta-karoten (sayuran) CI. No. 75130 (Carotenes  beta (vegetable)) 12. Ekstrak anato CI. No. 75120 (berbasis bixin) (Annatto extracts  bixin based) 13. Karotenoid (Carotenoids) 14. Merah bit (Beet red) 15. Antosianin (Anthocyanins)  and 16. Titanium dioksida CI. No. 77891 (Titanium dioxide) b. Synthetic Color 1. Tartrazin CI. No. 19140 (Tartrazine) 2. Kuning kuinolin CI. No. 47005 (Quinoline yellow) 3. Kuning FCF CI. No. 15985 (Sunset yellow FCF) 4. Karmoisin CI. No. 14720 (Azorubine(carmoisine)) 5. Ponceau 4R CI. No. 16255 (Ponceau 4R(cochineal red A)) 6. Eritrosin CI. No. 45430 (Erythrosine) 7. Merah allura CI. No. 16035 (Allura red AC) 8. Indigotin CI. No. 73015 (Indigotine(indigo carmine)) 9. Biru berlian FCF CI No. 42090 (Brilliant blue FCF) 10. Hijau FCF CI. No. 42053 (Fastgreen FCF)  and 11. Coklat HT CI. No. 20285 (Brown HT) The maximum level requirement of coloring agent in each food categories is listed in Annex 1 as integral part of this regulation. The content of coloring agent in Processed Food must be proved by a certificate of analysis. The type and use of color retention agent other than listed in Annex 1 should only be used after obtaining approval from the Head of NADFC. The color retention agent and Processed Food contain coloring agent which has a marketing approval must adjust with this regulation no later than one year from the date of enactment. The color retention agent and Processed Food contain coloring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</si>
  <si>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Coloring agents as food additive</t>
  </si>
  <si>
    <t>G/SPS/N/IDN/87</t>
  </si>
  <si>
    <t>Regulation of the Head of Indonesian National Agency for Drug and Food Control No. 25 of 2013 concerning Maximum Limit of Bulking Agent as Food Additive</t>
  </si>
  <si>
    <t>This regulation specified the maximum level requirement of bulking agent as food additive in processed food. The names of bulking agent which allowed consist of: 1. Sodium lactate (INS 325)  2. Alginic acid (INS 400)  3. Sodium alginate (INS 401)  4. Propylene glycol alginate (INS 405)  5. Agar (INS 406)  6. Carrageenan (INS 407)  7. Guar gum (INS 412)  8. Tragacanth gum (INS 413)  9. Arabic gum (INS 414)  10. Karaya gum (INS 416)  11. Glycerol ester of wood rosin (INS 445 (iii))  12. Microcrystalline cellulose (INS 460 (i))  13. Powdered cellulose (INS 460 (ii))  14. Methyl cellulose (INS 461)  15. Ethyl cellulose (INS 462)  16. Hydroxypropyl methyl cellulose (INS 464)  17. Sodium carboxymethyl cellulose (INS 466)  18. Mono- and di-glycerides of fatty acids (INS 471)  19. Calcium sulphate (INS 516)  20. Polydextroses (INS 1200)  21. Acid treated starch (INS 1401)  22. Alkaline treated starch (INS 1402)  23. Bleached starch (INS 1403)  24. Oxidized starch (INS 1404)  25. Enzymed treated starch (INS 1405)  26. Mono starch phosphate (INS 1410)  27. Distarch phosphate (INS 1412)  28. Phosphate distarch phosphate (INS 1413)  29. Acetylated distrarch phosphate (INS 1414)  30. Acetylated distarch adipate (INS 1422)  31. Hydroxypropyl starch (INS 1440)  and 32. Hydroxypropyl distarch phosphate (INS 1442). The maximum level requirement of bulking agent in each food categories is listed in Annex 1 as integral part of this regulation. The bulking agent in Processed Food must be proved by a certificate of analysis. The type and use of bulking agent other than listed in Annex 1 should only be used after obtaining approval from the Head of NADFC. The bulking agent and Processed Food contain bulking agent which has a marketing approval must adjust with this regulation no later than one year from the date of enactment. The bulking agent and Processed Food contain bulking agent which submitted before the prevailing of this regulation will be processed based on Regulation of Minister of Health No. 722/Menkes/Per/IX/1988 on Food Additive as amended by Regulation of Minister of Health No. 1168/Menkes/Per/X/1999. The validity period of this marketing approval will be one year.</t>
  </si>
  <si>
    <t>Bulking agent as food additive</t>
  </si>
  <si>
    <t>G/SPS/N/JPN/332</t>
  </si>
  <si>
    <t>Amendment to the Enforcement Ordinance of the Food Sanitation Law</t>
  </si>
  <si>
    <t>Authorization of Sunflower lecithin as food additive. The compositional specifications for Lecithin that are specified in the Ministry of Health  Labour and Welfare Notification (Ministry of Health and Welfare Notification No. 370  1959) are applied to Sunflower lecithin.</t>
  </si>
  <si>
    <t>Food additive (Sunflower lecithin)</t>
  </si>
  <si>
    <t>G/SPS/N/BRA/918</t>
  </si>
  <si>
    <t>Draft resolution regarding the active ingredient BEAUVERIA BASSIANA to be included in the monograph list of active ingredients for pesticides  household cleaning products and wood preservers  published by Resolution - RE n° 165 of 29 August 2003  Brazilian Official Gazette (DOU-Diário Oficial da União) of 2 September 2003</t>
  </si>
  <si>
    <t>Draft Resolution regarding the active ingredient BEAUVERIA BASSIANA to be included in the monograph list of active ingredients of pesticides  household cleaning products and wood preservers  including the use in foliar application (MLR not determined-safety security period not determined) in cultures of coffee  chrysanthemum (non-food use)  eucalyptus (non-food use)  cucumber and soy. Application in aerial part (stem) in culture of Yerba Mate (MLR not determined-safety security period not determined).</t>
  </si>
  <si>
    <t>G/SPS/N/BRA/916</t>
  </si>
  <si>
    <t>Draft resolution regarding the active ingredient BACILLUS THURINGIENSIS to be included in the monograph list of active ingredients for pesticides  household cleaning products and wood preservers  published by Resolution - RE n° 165 of 29 August 2003  Brazilian Official Gazette (DOU-Diário Oficial da União) of 2 September 2003</t>
  </si>
  <si>
    <t>Draft Resolution regarding the active ingredient BACILLUS THURINGIENSIS to be included in the monograph list of active ingredients of pesticides  household cleaning products and wood preservers  including the use in foliar application (MLR not determined-safety security period not determined) in cultures of pineapple  squash  zucchini  poplar  alfalfa  cotton peanuts  rice  potatoes  broccoli  coffee  sugarcane  carrot  citrus  coconut  cabbage  cauliflower  palm  bean  eucalyptus (useless for food)  smoke (useless for food)  apple  cassava  passion fruit  watermelon  melon  corn  pastures  cucumber  cabbage  rubber tree  soybean  tomato  wheat and grape.</t>
  </si>
  <si>
    <t>Foliar application (MLR not determined-safety security period not determined) in cultures of pineapple  squash  zucchini  poplar  alfalfa  cotton peanuts  rice  potatoes  broccoli  coffee  sugarcane  carrot  citrus  coconut  cabbage  cauliflower  palm  bean  eucalyptus (useless for food)  smoke (useless for food)  apple  cassava  passion fruit  watermelon  melon  corn  pastures  cucumber  cabbage  rubber tree  soybean  tomato  wheat and grape</t>
  </si>
  <si>
    <t>G/SPS/N/SAU/90</t>
  </si>
  <si>
    <t>The Kingdom of Saudi Arabia/The Cooperation Council for the Arab States of the Gulf Draft Technical Regulation for: "Maximum Limits of Pesticides Residues and Contaminants in Organic Food"</t>
  </si>
  <si>
    <t>This draft technical regulation provides maximum residue limits of pesticides and contaminants allowed in organic food.</t>
  </si>
  <si>
    <t>Maximum limits of pesticides residues and contaminants in organic food (ICS Codes: 65.100 and 67.040)</t>
  </si>
  <si>
    <t>Contaminants  Food safety  Human health  Maximum residue limits (MRLs)  Pesticides</t>
  </si>
  <si>
    <t>G/SPS/N/EU/64/Add.1</t>
  </si>
  <si>
    <t>G/SPS/N/CAN/741/Add.1</t>
  </si>
  <si>
    <t>Pesticide fosetyl-aluminum in or on various food commodities (ICS Codes: 65.020  65.100  67.040)</t>
  </si>
  <si>
    <t>G/SPS/N/QAT/46</t>
  </si>
  <si>
    <t>Maximum Limits of Pesticide Residues In Agricultural and Food Products</t>
  </si>
  <si>
    <t>This draft technical regulation applies to maximum limits for the pesticide residues in or on foods and agricultural commodities or animal feeds stated in the draft regulation.</t>
  </si>
  <si>
    <t>G/SPS/N/KOR/467</t>
  </si>
  <si>
    <t>The proposed amendment seeks to: 1. Clarify the application of standards and specifications by   - Including capsule base to be subject to standards and specifications tests for erectile dysfunction medication and other similar substances    - Amending the term 'recommended intake' to 'recommended intake or adequate intake' 2. Establish standards and specifications for the following functional ingredients :   - Hyaluronic acid   Rhodiola rosea extract   Bilberry extract and Garlic. 3. Add health claims in standards and specifications for the following functional ingredients:   - Green tea extracts(improving blood cholesterol level)  Phosphatidylserine (maintaining moisturized and healthy skin against ultraviolet rays)  Chitosan/ Chitooligosaccaride(reducing body fat) 4. Amend the test methods of   - Beta carotene  Vitamin B1  Fatty acid  Phytosterol and Free phytosterol.</t>
  </si>
  <si>
    <t>Health/Functional Foods</t>
  </si>
  <si>
    <t>G/SPS/N/KOR/466</t>
  </si>
  <si>
    <t>Enforcement Regulation of Testing and Inspection of Food and Drugs Act</t>
  </si>
  <si>
    <t>Enactment of the Enforcement Regulation of Testing and Inspection of Food and Drugs Act.  The key features of the Enforcement Regulation include:  - Establishment of standards and procedures for the designation  change of designation status and validity period of testing laboratories - Establishment of standards and procedures for the designation  change of designation status of Foreign Official Laboratories - Establishment of standards and procedures for the succession of laboratory's representative - Establishment of the basis of service suspension of MFDS-designated testing laboratories (including Foreign Official Laboratories)  - Matters regarding test standards and methods  storage and report of rejected test samples - Establishment of standards and procedures in accordance of international standards regarding the designation  change of designation status of Good Testing Laboratory - Matters regarding proficiency testing programmes - Matters regarding fees charged for the designation  change of designation status of testing laboratories and training institutes</t>
  </si>
  <si>
    <t>G/SPS/N/KOR/465</t>
  </si>
  <si>
    <t>Enforcement Decree of Testing and Inspection of Food and Drugs Act</t>
  </si>
  <si>
    <t xml:space="preserve">Enactment of the Enforcement Decree of Testing and Inspection of Food and Drugs Act.  The key features of the Enforcement Decree include: - Organization and operation of steering committee and working committee in the Testing and Inspection Food and Drugs Act.  - Establishment and management of the Laboratory Information Management System (LIMS)  - Designation of organizations engaged in research and development of testing and inspection systems   - Establishment of the basis for imposing penalty charges as an alternative to suspending laboratory services - Matters regarding delegation of authority from the Minister of MFDS to the Commissioner of regional KFDA </t>
  </si>
  <si>
    <t>G/SPS/N/NZL/500/Corr.1</t>
  </si>
  <si>
    <t>G/SPS/N/EU/64</t>
  </si>
  <si>
    <t>Draft Regulation of the European Parliament and of the Council on novel foods</t>
  </si>
  <si>
    <t>The proposed regulation repeals Regulation (EC) No 258/97 on Novel Foods. It creates in the European Union (EU) a centralised authorisation system  with a scientific risk assessment based on food safety and a Commission authorisation decision for the placing of novel foods on the EU market. It provides greater certainty  simplifies and speeds up the authorisation process for applicants thereby reducing administrative burden and costs. The proposed regulation also introduces an appropriate authorisation process for foods  which are new in the European Union but are traditional in third countries. If a history of safe food use can be demonstrated in a third country and there are no food safety objections from the European Food Safety Authority (EFSA) or EU member States the food will be allowed to be placed on the EU market on the basis of a notification from the third country's food business operators.</t>
  </si>
  <si>
    <t>G/SPS/N/PHL/244</t>
  </si>
  <si>
    <t>Republic Act 10611 -  Food Safety Act of 2013</t>
  </si>
  <si>
    <t>An Act to strengthen the food regulatory system in the country to protect consumer health and facilitate market access of local foods and food products  and for other purposes. The new law lays down a comprehensive framework that sets the benchmark for food safety in various stages from the harvest to the manufacture  processing  handling  packaging  distribution  marketing  food preparation to its consumption.</t>
  </si>
  <si>
    <t xml:space="preserve"> HS codes: 04  10  01  09  17  23  18  19  20  13  15  11  08  22  03  21  07  02  16 </t>
  </si>
  <si>
    <t>G/SPS/N/EU/63</t>
  </si>
  <si>
    <t xml:space="preserve"> HS codes: 0202  0207  1004  1005  1003  0204  1006  0203  1001  1007  0208  0209  0206  0201  0210  0205  1002  1008 </t>
  </si>
  <si>
    <t>G/SPS/N/NZL/500</t>
  </si>
  <si>
    <t>Proposals to Amend (No. 2) the New Zealand (Maximum Residue Limits of Agricultural Compounds) Food Standards 2013</t>
  </si>
  <si>
    <t xml:space="preserve">The document contains technical details on proposals to amend the New Zealand (Maximum Residue Limits of Agricultural Compounds) Food Standards 2012.  MPI proposes to add the following new MRLs to the MRL Standards:  0.01 mg/kg for chlorpyrifos when used as an insecticide in potatoes 0.01 mg/kg for kasugamycin when used as a bactericide in kiwifruit 0.01 mg/kg for propiconazole when used as a fungicide in avocados  MPI proposes to exempt the following substance from the MRL Standards: Extend the current exemption for benzalkonium chloride to use on avocados and use as bactericide on kiwifruit Extend the current exemption for chlorine dioxide to use as a bactericide Extend the current exemption for fatty acids of 8 carbons or more in their chains  and their salts to use as a plant growth regulator Harpin protein when used as a plant elicitor on horticultural crop Oxalic acid when used in beehives Extend the current exemption for potassium bicarbonate to use as plant growth regulator Soya bean oil when used as a fungicide Synthetic latex when used as an anti pod shatter </t>
  </si>
  <si>
    <t>G/SPS/N/EU/61</t>
  </si>
  <si>
    <t>Annexes to the "Draft Commission Regulation amending Annexes II  III and V to Regulation (EC) No 396/2005 of the European Parliament and of the Council as regards maximum residue levels for acibenzolar-S-methyl  ethoxyquin  flusilazole  isoxaflutole  molinate  propoxycarbazone  pyraflufen-ethyl  quinoclamine and warfarin in or on certain products"</t>
  </si>
  <si>
    <t xml:space="preserve">These notified annexes to the draft Regulation set proposed maximum residue levels (MRLs) for acibenzolar-S-methyl  ethoxyquin  flusilazole  isoxaflutole  molinate  propoxycarbazone  pyraflufen-ethyl  quinoclamine and warfarin in Annexes II and V to Regulation (EC) No 396/2005. </t>
  </si>
  <si>
    <t xml:space="preserve"> HS codes: 1007  1004  1006  1003  0207  0202  1005  1002  0204  0208  0209  0203  1001  1008  0206  0201  0210  0205 </t>
  </si>
  <si>
    <t>G/SPS/N/CAN/701/Add.1</t>
  </si>
  <si>
    <t>Pesticide cyantraniliprole in or on various food commodities (ICS: 65.020  65.100  67.040  67.080  67.100  67.120  67.200)</t>
  </si>
  <si>
    <t>G/SPS/N/TUR/77</t>
  </si>
  <si>
    <t>Analysis Methods Communiqué for Distilled Spirit Drinks</t>
  </si>
  <si>
    <t>The purpose of this Communiqué  is to establish the methods for carrying out the sampling and analysis for the official control of distilled spirit drinks. It also establishes the performance criteria with which the method of analysis used for official control has to be complied.</t>
  </si>
  <si>
    <t>Distilled spirit drinks</t>
  </si>
  <si>
    <t xml:space="preserve"> HS codes: 2205  2204  2207  2203  2206  2208 </t>
  </si>
  <si>
    <t>Beverages  Food safety  Human health</t>
  </si>
  <si>
    <t>G/SPS/N/IND/153</t>
  </si>
  <si>
    <t>The draft Food Safety and Standards (Food Products Standards and Food Additives) Amendment Regulations  2016 related to carbonated fruit beverages or fruit drinks.</t>
  </si>
  <si>
    <t>Carbonated fruit beverages or fruit drinks</t>
  </si>
  <si>
    <t>G/SPS/N/NPL/22</t>
  </si>
  <si>
    <t>Quality standard for Packaged drinking water and Mineral Water</t>
  </si>
  <si>
    <t>The Department of Food Technology and Quality Control proposes the quality standard for above mentioned food products: i) as a compulsory provision under food law and regulation  ii) to monitor export / import of these food products  and iii) to maintain safe and quality food product to the consumer. "Packaged waters"  other than natural mineral waters  are waters for human consumption and may contain minerals  naturally occurring or intentionally added  may contain carbon dioxide  naturally occurring or intentionally added  but shall not contain sugars  sweeteners  flavourings or other foodstuffs.  "Natural mineral water" is a water clearly distinguishable from ordinary drinking water because:  a) it is characterized by its content of certain mineral salts and their relative proportions and the presence of trace elements or of other constituents   b) it is obtained directly from natural or drilled sources from underground water bearing strata for which all possible precautions should be taken within the protected perimeters to avoid any pollution of  or external influence on  the chemical and physical qualities of natural mineral water   c) of the constancy of its composition and the stability of its discharge and its temperature  due account being taken of the cycles of minor natural fluctuations   d) it is collected under conditions which guarantee the original microbiological purity and chemical composition of essential components   e) it is packaged close to the point of emergence of the source with particular hygienic precautions  and f) it is not subjected to any treatment other than those permitted by this standard. The proposed standard sets the requirement for essential composition and quality factors  hygiene  packaging and labelling requirements as per the codex standard.</t>
  </si>
  <si>
    <t>HS Code 220110: Packaged drinking water  mineral water</t>
  </si>
  <si>
    <t xml:space="preserve"> HS codes: 220110  22 </t>
  </si>
  <si>
    <t>Bacteria  Beverages  Food safety  Human health</t>
  </si>
  <si>
    <t>G/SPS/N/IND/128</t>
  </si>
  <si>
    <t>Draft Food Safety and Standards (Food Product Standard and Food Additives) Amendment Regulation  2016</t>
  </si>
  <si>
    <t>The draft Food Safety and Standard (Food Products Standards and Food Additives) Amendment Regulations  2016 details the standards for packaged drinking water.</t>
  </si>
  <si>
    <t>Standards for packaged drinking water</t>
  </si>
  <si>
    <t>G/SPS/N/PHL/317</t>
  </si>
  <si>
    <t>Final Draft of the Philippine National Standard (PNS) Code of Hygienic Practice (COHP) for Chilled Young Coconut Water/Drink</t>
  </si>
  <si>
    <t>This final draft Code of Hygienic Practice (COHP) addresses food safety principles for the primary production  postharvest operations  transport  and minimal processing of chilled young coconut water/drink as define in this Code  derived from young coconut  with or without the addition of tender young coconut solid endosperm  potable water and permitted sweeteners.</t>
  </si>
  <si>
    <t>Chilled young coconut water/drink</t>
  </si>
  <si>
    <t>G/SPS/N/TUR/69</t>
  </si>
  <si>
    <t>Turkish Food Codex Communiqué on Spirit Drinks</t>
  </si>
  <si>
    <t>The purpose of this Communiqué is to determine the rules on the definition  description  presentation and labelling of spirit drinks as well as on the protection of geographical indications of spirit drinks.</t>
  </si>
  <si>
    <t xml:space="preserve"> HS codes: 2207  2208  2204  2206  2203  2205 </t>
  </si>
  <si>
    <t>G/SPS/N/SAU/174</t>
  </si>
  <si>
    <t>The Kingdom of Saudi Arabia/The Cooperation Council for the Arab States of the Gulf Draft Technical Regulation for: "Sports Drinks"</t>
  </si>
  <si>
    <t>This draft technical regulation applies to sports drinks and the base of sports drinks.</t>
  </si>
  <si>
    <t>Sports drinks (electrolyte drinks) (ICS Code: 67.160)</t>
  </si>
  <si>
    <t>G/SPS/N/NGA/9</t>
  </si>
  <si>
    <t>Soft Drinks Regulations 2005</t>
  </si>
  <si>
    <t>The Soft Drinks Regulations 2005 covers the registration of soft drinks in accordance with the provisions of these regulations and it is also in addition to the compliance with the pre-packaged Food (Labelling) Regulations 2005. It stipulates the labelling of soft drinks  fruit squash  cordial or fruit crush  etc. It also deals with the classification of soft drinks  the added substances and the names of the soft drinks. It prescribes the prohibition  penalties and forfeiture to the agency of the violating products and accessories.</t>
  </si>
  <si>
    <t xml:space="preserve">HS Code(s): 22  Soft drinks  </t>
  </si>
  <si>
    <t>G/SPS/N/NGA/5</t>
  </si>
  <si>
    <t xml:space="preserve">Spirit drinks Regulations 2005 </t>
  </si>
  <si>
    <t>The National Agency for Food and Drug Administration and Control (NAFDAC) Spirit Drinks Regulations 2005 covers the use and limit of food additives in the manufacture of spirit drinks and restriction on sale of alcoholic spirits. It stipulates the packaging/labelling S.I No. of 2005  covering the advertisement of spirits and the specifications for alcoholic spirits provided in Schedules of II-V of these Regulations. It prescribes the prohibition  penalties and forfeiture to the agency of the violating products and accessories.</t>
  </si>
  <si>
    <t>HS Code(s): 22  Spirit drinks HS Code: 2208</t>
  </si>
  <si>
    <t xml:space="preserve"> HS codes: 22  2208 </t>
  </si>
  <si>
    <t>G/SPS/N/CHN/879</t>
  </si>
  <si>
    <t>National Food Safety Standard: Code of Hygienic Practice for Packaged Drinking Water</t>
  </si>
  <si>
    <t xml:space="preserve"> This standard applies to the production of packaged drinking water.</t>
  </si>
  <si>
    <t>Packaged drinking water</t>
  </si>
  <si>
    <t>G/SPS/N/SAU/128</t>
  </si>
  <si>
    <t>The Kingdom of Saudi Arabia/The Cooperation Council for the Arab States of the Gulf Draft Technical Regulation for: "Karkade drink".</t>
  </si>
  <si>
    <t>Karkade drink (ICS Code: 67.160).</t>
  </si>
  <si>
    <t>Beverages  Contaminants  Food safety  Human health</t>
  </si>
  <si>
    <t>G/SPS/N/TUR/50</t>
  </si>
  <si>
    <t>Turkish Food Codex Communiqué on Energy Drinks</t>
  </si>
  <si>
    <t>The purpose of this Communiqué is to determine the definition  product features and labelling of energy drinks.</t>
  </si>
  <si>
    <t>Beverages  Food safety  Human health  Labelling</t>
  </si>
  <si>
    <t>G/SPS/N/OMN/53</t>
  </si>
  <si>
    <t>Unbottled Drinking Water</t>
  </si>
  <si>
    <t>This Omani/Gulf draft technical regulation concerns unbottled drinking water suitable for human consumption. Items related to characteristics (item 5) are compulsory. The remaining items are voluntary.</t>
  </si>
  <si>
    <t>G/SPS/N/OMN/48</t>
  </si>
  <si>
    <t>This Omani/Gulf draft technical regulation concerns bottled drinking water fit for human consumption  and do not include natural mineral water.</t>
  </si>
  <si>
    <t>Bottled drinking water (ICS Code: 67.160)</t>
  </si>
  <si>
    <t>Beverages  Contaminants  Food safety  Human health  Labelling  Packaging</t>
  </si>
  <si>
    <t>G/SPS/N/SAU/99</t>
  </si>
  <si>
    <t>The Kingdom of Saudi Arabia/The Cooperation Council for the Arab States of the Gulf Draft Technical Regulation for: "Unbottled drinking water"</t>
  </si>
  <si>
    <t>This draft technical regulation applies to unbottled drinking water that is valid for human consumption.</t>
  </si>
  <si>
    <t>G/SPS/N/CHN/637</t>
  </si>
  <si>
    <t>National Food Safety Standard: Packaged Drinking Water</t>
  </si>
  <si>
    <t>This standard prescribes the packaged drinking water for direct human oral consume  not including the items prescribed in GB 8537.</t>
  </si>
  <si>
    <t>G/SPS/N/TUR/40</t>
  </si>
  <si>
    <t>Turkish Food Codex Communiqué on Heat Treated Drinking Milk</t>
  </si>
  <si>
    <t>This Communiqué is to identify the characteristics of heat-treated drinking milk in order to ensure that its production  storage  transportation and marketing are in compliance with the relevant technical and hygienic conditions. This Communiqué covers pasteurized drinking milk  heat-treated drinking milk after the pasteurisation process  UHT drinking milk  sterilized drinking milk.</t>
  </si>
  <si>
    <t>Heat-treated drinking milk for human consumption</t>
  </si>
  <si>
    <t>G/SPS/N/SAU/91</t>
  </si>
  <si>
    <t>The Kingdom of Saudi Arabia/The Cooperation Council for the Arab States of the Gulf Draft Technical Regulation for: "Bottled drinking water"</t>
  </si>
  <si>
    <t>This draft technical regulation applies to bottled drinking water suitable for human consumption  and does not include natural mineral water.</t>
  </si>
  <si>
    <t>Bacteria  Beverages  Contaminants  Food safety  Human health</t>
  </si>
  <si>
    <t>G/SPS/N/NPL/23</t>
  </si>
  <si>
    <t>Proposed quality standard for whisky (malt grain whisky  blended whisky  other whisky)  Proposed quality standard for rum (rum  white rum and flavored rum)  Proposed quality standard for vodka</t>
  </si>
  <si>
    <t>The Department of Food Technology and Quality Control proposes the quality standard for the above mentioned food products. This standard serves: a. as a compulsory provision under food law and regulation  b. to monitor export/import of these food products  and c. to maintain safe and quality food products to the consumer. The following definitions are provided in the standard: - Whisky is the alcoholic beverage made by distilling the fermented extract of malted cereal grains or other starch food products. It shall be with or without caramel colour or additives  - Rum is an alcoholic distillate obtained from fermented juice of sugarcane  sugarcane molasses  as well as any other sugarcane product  sugar beet or sugar beet molasses. It should not contain any colouring matter other than caramel. It can also be prepared from neutral  rectified  distilled spirit or a mixture of any combination thereof  - White rum is rum without caramel colour  in order to be designated as white rum  - Flavoured rum is an alcoholic beverage made out of rum and flavourings (spices or fruits)  with or without permitted colour and with or without added sugar  - Vodka is the distilled alcoholic beverage made from neutral spirit which may be obtained from potato  molasses and other fermented grains. It shall be with or without permitted colour  flavor and additive. The proposed standard sets the requirement for essential composition and quality factors  hygiene  packaging and labeling requirements as per the Codex standard.</t>
  </si>
  <si>
    <t>Whisky  rum  vodka</t>
  </si>
  <si>
    <t xml:space="preserve"> HS codes: 220840  22  220830  220860 </t>
  </si>
  <si>
    <t>G/SPS/N/TPKM/406/Add.1</t>
  </si>
  <si>
    <t>Alcohol products</t>
  </si>
  <si>
    <t xml:space="preserve"> HS codes: 2208 </t>
  </si>
  <si>
    <t>G/SPS/N/IND/158</t>
  </si>
  <si>
    <t>Draft Food Safety and Standards (Food Products Standards and Food Additives) Amendment Regulations  2016 relating to standards for non-carbonated water based beverages (non alcoholic).</t>
  </si>
  <si>
    <t>Standards for non-carbonated water based beverages (non alcoholic)</t>
  </si>
  <si>
    <t>G/SPS/N/IND/157</t>
  </si>
  <si>
    <t>Draft Food Safety and Standards (Food Products Standards and Food Additives) Amendment Regulations  2016 relating to additives/enzymes/processing aids for use in category 14.2 (Alcoholic beverages including alcohol free and low alcoholic counterparts).</t>
  </si>
  <si>
    <t>Additives/enzymes/processing aids for use in category 14.2 (Alcoholic beverages including alcohol free and low alcoholic counterparts)</t>
  </si>
  <si>
    <t>G/SPS/N/GIN/11/Add.1</t>
  </si>
  <si>
    <t>Approval of 39 agrifood-related standards</t>
  </si>
  <si>
    <t>The purpose of this addendum is to provide Members with a link to the electronic version of the notified document  which was not included in the original notification.Text available at: http://members.wto.org/crnattachments/2016/SPS/GIN/16_3286_00_f.pdf.</t>
  </si>
  <si>
    <t xml:space="preserve"> HS codes: 15  25  22  10  07  17  04 </t>
  </si>
  <si>
    <t>G/SPS/N/EGY/68/Add.1</t>
  </si>
  <si>
    <t>G/SPS/N/TPKM/406</t>
  </si>
  <si>
    <t>Draft amendment of the Hygiene Standards for Alcohol Products</t>
  </si>
  <si>
    <t>The main proposed amendments of the standards include: revising the methanol limit for grape wines to 3 000mg/liter (calculated by 100% ethyl alcohol)  setting the methanol limit for sweet potato distilled spirits to 2 000mg/liter (calculated by 100% ethyl alcohol)  revising residue standards for preservatives.</t>
  </si>
  <si>
    <t>G/SPS/N/IDN/111/Corr.1</t>
  </si>
  <si>
    <t>Bacteria  Beverages  Contaminants  Food safety  Human health  Labelling</t>
  </si>
  <si>
    <t>G/SPS/N/IDN/111</t>
  </si>
  <si>
    <t>Draft Regulation of the Director General of Indonesian National Agency for Drug and Food Control concerning the Safety and Quality Standard of Alcoholic Beverages</t>
  </si>
  <si>
    <t>This regulation regulates safety and quality standard  labeling and advertising of alcoholic beverages. Alcoholic beverages distributed in Indonesia both domestically or imported shall meet specified safety standard  quality standard  labeling and advertising in accordance with the provisions of this draft regulation.   Safety standard included : a. Maximum level of the methanol content  b. Microbial contamination  c. Chemical contamination  d. Food additives.  Maximum level of the methanol in alcohol beverages is not more than 0.01% v/v (calculated on the volume of products). The microbial contamination  chemical contamination and food additives conform with the provisions of the legislation.  Quality standard of alcoholic beverages are specified in Annex.  The Alcoholic beverages labeling shall declare the information at least  as follow: a. Alcoholic beverages and the type of Alcoholic beverages as defined in Regulation of the Chairman of NADFC RI No. 1 Year 2015 on Food Category  b. Prohibited to consume for under 21 years old or the pregnant woman  c. Contained alcohol + ' .....  % v/v. The information above shall be written in Indonesian language. Alcoholic beverages are prohibited to be advertised in any mass media.</t>
  </si>
  <si>
    <t xml:space="preserve">Alcoholic beverages </t>
  </si>
  <si>
    <t>Bacteria  Beverages  Contaminants  Food additives  Food safety  Human health</t>
  </si>
  <si>
    <t>G/SPS/N/USA/2610/Add.2</t>
  </si>
  <si>
    <t>Multiple products - HS Codes: 03  04  05  09  10  11  12  15  16  17  18  19  20  21  22  ICS Codes: 65  67</t>
  </si>
  <si>
    <t xml:space="preserve"> HS codes: 19  05  03  16  15  12  11  17  10  20  22  09  04  21  18 </t>
  </si>
  <si>
    <t>G/SPS/N/LKA/39</t>
  </si>
  <si>
    <t>Food (Colour Coding for Sugar Levels) Regulations 2016</t>
  </si>
  <si>
    <t xml:space="preserve">These regulations on Food (Colour Coding for Sugar Levels) cover: No person can sell  offer for sale  distribute or advertise:  a.  Carbonated beverages   b.  Ready to serve beverages other than milk based products   c.  Fruit nectar   d.  Fruit juices. Unless the container or the package is labelled with the following mandatory requirements: a. A numerical description of the sugar content  b. A description of the relative sugar level  c. A colour code displayed in schedule II  d. The diameter of the inner circle in logo specifies the colour relating to a particular sugar level should not be less than 1 cm. </t>
  </si>
  <si>
    <t>Sugar levels in carbonated beverages  ready to serve beverages other than milk based products  fruit nectar and fruit juices</t>
  </si>
  <si>
    <t xml:space="preserve"> HS codes: 2009  2202 </t>
  </si>
  <si>
    <t>G/SPS/N/IND/119</t>
  </si>
  <si>
    <t>Draft Food Safety and Standard (Alcoholic Beverages Standards) Regulation  2015</t>
  </si>
  <si>
    <t>The draft Food Safety and Standard (Alcoholic Beverages Standards) Regulation  2015 details the standards of alcoholic beverages.</t>
  </si>
  <si>
    <t>Standards for alcoholic beverages</t>
  </si>
  <si>
    <t>G/SPS/N/SAU/187</t>
  </si>
  <si>
    <t>The Kingdom of Saudi Arabia/The Cooperation Council for the Arab States of the Gulf Draft Technical Regulation for: "Concentrates for carbonated beverages"</t>
  </si>
  <si>
    <t>This draft technical regulation concerns the basic requirements of concentrates that are used in the manufacture of soft drinks.</t>
  </si>
  <si>
    <t>Concentrates for carbonated beverage (ICS Code: 67.160.20)</t>
  </si>
  <si>
    <t>G/SPS/N/EGY/62/Add.1</t>
  </si>
  <si>
    <t>Beverages</t>
  </si>
  <si>
    <t>G/SPS/N/NGA/12</t>
  </si>
  <si>
    <t>Wine Regulations 2005</t>
  </si>
  <si>
    <t>The National Agency for and Drug Administration and Control (NAFDAC) Wine regulations covers the use and limits of food additives in the manufacture of wine. It prescribes the labelling  names of wine to indicate the accurate nature of the wine and the advertisement of such. It contains schedule that gives the classes of wine. It also prescribes the prohibition  penalties and forfeiture to the agency of the violating products and accessories.</t>
  </si>
  <si>
    <t>Wine specified in schedule 1 to these regulations  Sparkling wine - HS Code: 2204.1000.00  Vermouth - HS Codes: 2205.1000.00  2205.9000.00  Cider - HS Code: 2206.0000.00</t>
  </si>
  <si>
    <t xml:space="preserve"> HS codes: 220410  220510  220600  220590 </t>
  </si>
  <si>
    <t>G/SPS/N/CHN/1006</t>
  </si>
  <si>
    <t>National Food Safety Standard: Code of Hygienic Practice for the Production of Fermented Alcoholic Beverages and their Integrated Alcoholic Beverages</t>
  </si>
  <si>
    <t>This standard applies to the production of fermented alcoholic beverages and their integrated alcoholic beverages.</t>
  </si>
  <si>
    <t>Fermented alcoholic beverages and their integrated alcoholic beverages</t>
  </si>
  <si>
    <t xml:space="preserve"> HS codes: 2205  2203  2206  2204 </t>
  </si>
  <si>
    <t>G/SPS/N/CHN/1005</t>
  </si>
  <si>
    <t>National Food Safety Standard of the P.R.C.: Code of Hygienic Practice for the Production of Distilled Liquor and Formulated Liquor.</t>
  </si>
  <si>
    <t>This standard applies to the production of distilled liquor and formulated liquor.</t>
  </si>
  <si>
    <t>Distilled liquor and formulated liquor</t>
  </si>
  <si>
    <t>G/SPS/N/CHN/1002</t>
  </si>
  <si>
    <t>National Food Safety Standard of the P.R.C.: Code of Hygienic Practice for the Production of Beverages</t>
  </si>
  <si>
    <t>This standard applies to the production of beverages.</t>
  </si>
  <si>
    <t>G/SPS/N/CHN/990</t>
  </si>
  <si>
    <t>National food safety standard of the P.R.C.: Edible alcohol</t>
  </si>
  <si>
    <t>This standard applies to the aqueous alcohol used in food industry and obtained by the fermentation and distillation of grains  potatoes  molasses and other edible agricultural products as raw materials.</t>
  </si>
  <si>
    <t>Edible alcohol (ICS: 67.160.10)</t>
  </si>
  <si>
    <t>G/SPS/N/EGY/68</t>
  </si>
  <si>
    <t>Draft Egyptian Standard for Non-Alcoholic Barley Drink to supersede E.S. No. 1765/2006 that has already been mandated by Ministerial Decree No. 130/2005</t>
  </si>
  <si>
    <t>The Draft of Egyptian Standard for Non-Alcoholic Barley Drink specifies the essential requirements  descriptive criteria for Non-Alcoholic Barley Drink and methods of analysis.</t>
  </si>
  <si>
    <t>G/SPS/N/EGY/62</t>
  </si>
  <si>
    <t>Draft Egyptian Standard for Non-Carbonated Sweeten Drinks Part 2: Fruit Drinks and Processed Drinks to supersede ES No. 1602-2/2005 that has already been mandated by Ministerial Decree No. 515/2005</t>
  </si>
  <si>
    <t>The Draft Egyptian Standard for Non-Carbonated Sweeten Drinks Part 2: Fruit drinks and processed drinks concern the essential requirements and descriptive criteria of fruit drinks and processed drinks.</t>
  </si>
  <si>
    <t xml:space="preserve"> HS codes: 22  2009  2202 </t>
  </si>
  <si>
    <t>G/SPS/N/USA/2713/Add.2</t>
  </si>
  <si>
    <t>HS Code(s): 22   ICS Code(s): 67  Alcoholic beverages and non-alcohol mixers and mixes</t>
  </si>
  <si>
    <t>G/SPS/N/CAN/909/Add.1</t>
  </si>
  <si>
    <t>Yeast mannoproteins (ICS Codes: 67.220  67.160.10)</t>
  </si>
  <si>
    <t>France</t>
  </si>
  <si>
    <t>G/SPS/N/FRA/10</t>
  </si>
  <si>
    <t xml:space="preserve"> HS codes: 10  22  17  09 </t>
  </si>
  <si>
    <t>G/SPS/N/USA/2713/Add.1</t>
  </si>
  <si>
    <t>HS Code(s): 22  ICS Code(s): 67  Alcoholic beverages and non-alcohol mixers and mixes</t>
  </si>
  <si>
    <t>Cabo Verde</t>
  </si>
  <si>
    <t>G/SPS/N/CPV/4</t>
  </si>
  <si>
    <t xml:space="preserve"> HS codes: 2206 </t>
  </si>
  <si>
    <t>G/SPS/N/TPKM/337/Add.1</t>
  </si>
  <si>
    <t>G/SPS/N/THA/221/Add.1</t>
  </si>
  <si>
    <t>Alcohol beverages (ICS Codes: 67.160.10  HS Codes: 2203  2204  2205  2206  2207  2208)</t>
  </si>
  <si>
    <t xml:space="preserve"> HS codes: 2204  2206  2207  2205  2208  2203 </t>
  </si>
  <si>
    <t>G/SPS/N/MEX/233/Add.2</t>
  </si>
  <si>
    <t>Bebidas alcohólicas</t>
  </si>
  <si>
    <t>G/SPS/N/JPN/404</t>
  </si>
  <si>
    <t>Revision of the Standards and Specifications for Foods and Food Additives under the Food Sanitation Law</t>
  </si>
  <si>
    <t>Non-alcoholic beverages will be exempted from the requirement of storage temperature (not more than 10°C)  when they are sterilized by a method having a sufficient effect to remove microorganisms that are derived from their raw ingredients  exist in them  and may grow in them.</t>
  </si>
  <si>
    <t>Beverages (HS Code: 22.02)</t>
  </si>
  <si>
    <t>G/SPS/N/MEX/233/Add.1</t>
  </si>
  <si>
    <t>G/SPS/N/CAN/904</t>
  </si>
  <si>
    <t xml:space="preserve">Notice of Modification to the List of Permitted Food Enzymes to Enable the Use of Cellulase  Glucanase and Xylanase Obtained from Rasamsonia emersonii (previous name: Talaromyces emersonii) as Food Enzymes in Brewers' Mash </t>
  </si>
  <si>
    <t xml:space="preserve">Health Canada's Food Directorate completed a detailed safety assessment of a food additive submission seeking approval for the use of a food enzyme preparation containing cellulase  â-glucanase and xylanase from Rasamsonia emersonii (previous name:Talaromyces emersonii) in brewers' mash. All three enzymes in this preparation (cellulase  â-glucanase and xylanase) are permitted for use as food enzymes in certain foods in Canada. Several other enzymes are already approved for use as food enzymes in brewers' mash  but neither cellulase  glucanase  nor xylanase are among them. As no safety concerns were raised through this assessment  the Department has enabled the food additive uses described in the information document by modifying the List of Permitted Food Enzymes  effective 3 December 2014. The purpose of this communication is to publically announce the Department's decision in this regard and to provide the appropriate contact information for any inquiries or for those wishing to submit any new scientific information relevant to the safety of these food additives. Health Canada's Food Directorate is committed to reviewing any new scientific information on the safety in use of any food additive  including cellulase  â-glucanase and xylanase. Anyone wishing to submit new scientific information on the use of this additive or to submit any inquiries may do so in writing  by regular mail or electronically. </t>
  </si>
  <si>
    <t>Cellulase  â-glucanase and xylanase (ICS Codes: 67.220.20  67.160.10)</t>
  </si>
  <si>
    <t>G/SPS/N/TPKM/337</t>
  </si>
  <si>
    <t>Amended Draft on the Regulations Governing the Inspection of Imported Alcohol</t>
  </si>
  <si>
    <t xml:space="preserve">The main proposed amendments of the Regulations include: Imported alcohol products not for direct consumption but for further repackaging or processing shall be inspected on a lot-to-lot basis  Importers who import alcohol products that were found in non-compliance shall provide testing reports to ascertain the quality of the same but newly imported ones  Inspection fees shall be based on the testing provided during the importation for those lots that are subject to lot-to-lot inspection or chosen lot after lot-sampling  Six-month period of gratis testing shall be granted to those lots that are eligible for undergoing release-after-documentary inspection. </t>
  </si>
  <si>
    <t>G/SPS/N/USA/2713</t>
  </si>
  <si>
    <t>EMD Millipore Corp.  Filing of Color Additive Petition</t>
  </si>
  <si>
    <t>The Food and Drug Administration (FDA) is announcing that we have filed a petition  submitted by EMD Millipore Corp.  proposing that the color additive regulations be amended to expand the safe use of mica-based pearlescent pigments in alcoholic beverages to include cordials  liqueurs  cocktails  and certain other alcoholic beverages  and non-alcoholic mixers and mixes.</t>
  </si>
  <si>
    <t>HS Code(s):  22   ICS Code(s):  67. Alcoholic beverages and non-alcohol mixers and mixes.</t>
  </si>
  <si>
    <t>G/SPS/N/USA/2337/Add.1</t>
  </si>
  <si>
    <t xml:space="preserve">Vitamin D3 as a nutrient supplement in meal replacement beverages and meal replacement bars </t>
  </si>
  <si>
    <t>G/SPS/N/CAN/832</t>
  </si>
  <si>
    <t>Proposed Changes to the Tolerances for Arsenic and Lead in Fruit Juice  Fruit Nectar  Beverages when Ready-to-Serve  and Water in Sealed Containers</t>
  </si>
  <si>
    <t>The Food Directorate's Bureau of Chemical Safety is proposing to update certain regulatory tolerances within Division 15 of the Food and Drugs Regulations  specifically those for arsenic and lead in a variety of beverages  including bottled water.   Currently  Table 1 of Division 15 of the Food and Drug Regulations specifies tolerances of 0.1 parts per million (ppm) of arsenic and 0.2 ppm of lead in fruit juice  fruit nectar  beverages when ready-to-serve  and water in sealed containers other than mineral or spring water. Should these foods contain arsenic or lead at concentrations above these tolerances  they are considered to be adulterated and therefore may not be sold in Canada.  Fruit juice makes a significant contribution to dietary lead and arsenic exposure  particularly in infants and young children. Therefore  this commodity group was identified as a priority for setting updated lead and arsenic tolerances. Health Canada is proposing to exclude apple juice from the existing tolerance for arsenic in fruit juice  fruit nectar  and beverages when ready-to-serve and create a lower tolerance of 0.01 ppm for total arsenic in apple juice. Health Canada is also proposing to lower the existing tolerance for lead in fruit juice  fruit nectar  and beverages when ready-to-serve to 0.05 ppm.  Furthermore  Health Canada is recommending that the existing tolerances for both arsenic and lead in water in sealed containers be lowered to 0.01 ppm and extended to include all types of bottled water  including mineral and spring water  which have a standard of identity under Part B  Division 12 of the Food and Drug Regulations.</t>
  </si>
  <si>
    <t>Tolerances for arsenic and lead in fruit juice  fruit nectar  beverages when ready-to-serve  and water in sealed containers (ICS Code: 67.160)</t>
  </si>
  <si>
    <t xml:space="preserve"> HS codes: 2009  2201 </t>
  </si>
  <si>
    <t>Beverages  Food safety  Heavy metals  Human health</t>
  </si>
  <si>
    <t>G/SPS/N/USA/2611/Add.1</t>
  </si>
  <si>
    <t>Multiple products - HS Codes: 04  07  08  09  10  11  12  15  16  17  18  19  20  21  22</t>
  </si>
  <si>
    <t xml:space="preserve"> HS codes: 21  12  22  11  09  19  17  07  16  20  10  18  15  08  04 </t>
  </si>
  <si>
    <t>G/SPS/N/USA/2610/Add.1</t>
  </si>
  <si>
    <t xml:space="preserve"> HS codes: 22  04  18  15  10  05  17  12  19  16  03  20  11  09  21 </t>
  </si>
  <si>
    <t>G/SPS/N/IND/85</t>
  </si>
  <si>
    <t>Draft Food Safety and Standards (Food Products Standards and Food Additives) Amendment Regulation  2013</t>
  </si>
  <si>
    <t>Standards for caffeinated beverages and blue tint in packaged mineral water.</t>
  </si>
  <si>
    <t>Caffeinated beverages and blue tint for packaging mineral water</t>
  </si>
  <si>
    <t xml:space="preserve"> HS codes: 0901  0902  2201 </t>
  </si>
  <si>
    <t>Beverages  Contaminants  Food safety  Human health  Packaging</t>
  </si>
  <si>
    <t>G/SPS/N/TPKM/285/Add.1</t>
  </si>
  <si>
    <t>G/SPS/N/THA/221</t>
  </si>
  <si>
    <t>Draft Notification of the Alcoholic Beverages Control  Re: Rules  Procedure and condition for Labels of Alcoholic Beverages</t>
  </si>
  <si>
    <t>The Draft Notification of the Alcohol Beverages Control  Re: Rules  Procedures and conditions for Labels of Alcohol Beverages  issued under .... B.E. ... is specified as follows: 1. The labels of alcoholic beverages shall not use any message as follows: 1) Messages which is are regarded as an unfair message to consumers or which include references to consequential social effects  even if these messages may relate to sources  condition  quality or characteristics of products or services including delivery  procurement or application of products or services.  Messages which are regarded as an unfair message to consumers or which include references to consequential social effects are defined as follows: a) A message which is false or exaggerated. b) A message which misleads consumers on the content of products or services although these messages may refer to an academic report  statistical data or unrealistic or exaggerated information. c) A message that directly or indirectly supports an illegality or morality or leads to discredit to the national culture. d) A message that leads to disharmony or prejudice. 2) The message which directly or indirectly persuades consumption or pretentiously exaggerates the benefit or quality of an alcoholic beverage. 2. Any of the following characteristics are considered to be included in Clause 1 (2): 1) A message that introduces an attitude that drinking alcohol can lead to social and sexual success including health. 2) A message using the picture of an athlete. 3) A message using the picture of an artist or a singer. 4) A message using the picture of a cartoon. 5) A message that persuades or convinces consumers to purchase or consume in order to donate money to charity. 6) A message that persuades or convinces consumers to participate in activities such as music  sports  contests or recreation. 3. The draft notification shall not be applied to alcoholic beverages manufactured or imported for distribution out of the Kingdom of Thailand or for the purposes of testing  analysis or research with clear specification or for non-commercial benefits in the Kingdom. 4. The labels that were used prior to the date of enforcement of this notification can continue to be used for no more than one hundred and eighty days after this notification becomes effective. 5. This Notification shall come into force from the day following the date of its publication in the Government Gazette.</t>
  </si>
  <si>
    <t xml:space="preserve"> HS codes: 2204  2208  2205  2203  2207  2206 </t>
  </si>
  <si>
    <t>G/SPS/N/USA/2611</t>
  </si>
  <si>
    <t>Appendix 4 to Draft Qualitative Risk Assessment of Risk of Activity/Food Combinations for Activities (Outside the Farm Definition) Conducted in a Facility Co-Located on a Farm  Availability  Proposed Rule</t>
  </si>
  <si>
    <t>On 16 January 2013  the Food and Drug Administration (FDA) announced the availability of  and requested comment on  a document entitled ''Draft Qualitative Risk Assessment of Risk of Activity/Food Combinations for Activities (Outside the Farm Definition) Conducted in a Facility Co-Located on a Farm'' (the draft RA). FDA is now announcing the availability of  and requesting comment on  a document entitled ''Appendix 4 to Draft Qualitative Risk Assessment of Risk of Activity/Food Combinations for Activities (Outside the Farm Definition) Conducted in a Facility Co-Located on a Farm'' (the draft RA Appendix). The purpose of the draft RA Appendix is to provide a science-based risk analysis of those foods whose production would be considered low risk with respect to the risk of intentional adulteration caused by acts of terrorism. The appendix supplements the science-based risk analysis already included in the draft RA  which does not consider the risk of intentional adulteration caused by acts of terrorism. FDA conducted this evaluation to satisfy requirements of the FDA Food Safety Modernization Act (FSMA) to conduct a science-based risk analysis and to consider the results of that analysis in rulemaking that is required by FSMA.</t>
  </si>
  <si>
    <t xml:space="preserve"> HS codes: 10  22  18  17  19  09  15  20  11  21  16  07  08  04  12 </t>
  </si>
  <si>
    <t>G/SPS/N/USA/2610</t>
  </si>
  <si>
    <t>Focused Mitigation Strategies To Protect Food Against Intentional Adulteration  Proposed Rule</t>
  </si>
  <si>
    <t>The Food and Drug Administration is proposing to require domestic and foreign food facilities that are required to register under the Federal Food  Drug  and Cosmetic Act (the FD&amp;C Act) to address hazards that may be intentionally introduced by acts of terrorism. These food facilities would be required to identify and implement focused mitigation strategies to significantly minimize or prevent significant vulnerabilities identified at actionable process steps in a food operation. FDA is proposing these requirements as part of our implementation of the FDA Food Safety Modernization Act (FSMA). Further  as part of the proposal  FDA discusses an approach to addressing economically motivated intentional adulteration. We expect the proposed rule  if finalized as proposed  would help to protect food from intentional adulteration caused by acts of terrorism.  This proposed rule would apply to both domestic and foreign facilities that are required to register under section 415 of the FD&amp;C Act. However  as explained in the remainder of the document and shown in Diagram 1 and Table 1 of the document  the proposed rule contains several exemptions.</t>
  </si>
  <si>
    <t xml:space="preserve"> HS codes: 12  04  03  10  21  15  20  11  05  09  16  17  18  22  19 </t>
  </si>
  <si>
    <t xml:space="preserve"> HS codes: 0207  010511  0105 </t>
  </si>
  <si>
    <t>Animal diseases  Animal health  Avian Influenza  Food safety  Human health  Pest or Disease free Regions  Zoonoses</t>
  </si>
  <si>
    <t>G/SPS/N/TUR/20/Rev.1</t>
  </si>
  <si>
    <t>Implementing Regulation on the Methods of Sampling and Analysis for Official Control of Feedstuffs</t>
  </si>
  <si>
    <t>This regulation covers: 1. Sampling for the determination of constituents  additives and undesirable substances for the official control of feed  2. Preparation of samples for analysis and expression of result  3. Methods of analysis for the official control of compound feeds and feed materials  4. Methods of analysis for the official control of  feed additives that are authorized  5. Methods of analysis for the official control of  undesirable substances in animal feed  6. Methods of analysis for the determination of constituents of animal origin for the official control of feed  7. Calculation of the energy value of compound poultry feed  and 8. Methods of analysis to control the illegal presence of no longer authorised additives in feed.</t>
  </si>
  <si>
    <t>Feeds</t>
  </si>
  <si>
    <t>Animal feed  Animal health  Contaminants  Feed additives  Food safety  Human health</t>
  </si>
  <si>
    <t>G/SPS/N/CAN/1080</t>
  </si>
  <si>
    <t>Proposed Maximum Residue Limit: Teflubenzuron (PMRL2016-67)</t>
  </si>
  <si>
    <t>The objective of the notified document PMRL2016-67 is to consult on the listed import maximum residue limits (MRLs) for teflubenzuron that have been proposed by the Health Canada's Pest Management Regulatory Agency (PMRA).  MRL (ppm) Raw Agricultural Commodity (RAC) and/or Processed Commodity 70 Citrus oil 1.5 Mangos  tomatoes 0.8 Pineapples 0.6 Green coffee beans  oranges 0.5 Papayas 0.3 Sunflower seeds 0.2 Broccoli 0.05 Dry soybeans 0.02 Corn oil (refined) 0.01 Cauliflowers  field corn ppm = parts per million</t>
  </si>
  <si>
    <t>Pesticide teflubenzuron in or on various commodities (ICS Codes: 65.020  65.100  67.040  67.080  67.140)</t>
  </si>
  <si>
    <t xml:space="preserve"> HS codes: 0702  080450  15152  080430  070410  1206  080720  1201  080510 </t>
  </si>
  <si>
    <t>G/SPS/N/TUR/80</t>
  </si>
  <si>
    <t>Turkish Food Codex Regulation on Fermented Milk Products</t>
  </si>
  <si>
    <t>The objective of this Communiqué is to determine the product specifications in order to provide the production  preparation  processing  packaging  conservation  storage  transportation and marketing of fermented milk products in conformity with the relevant technique and hygienically.</t>
  </si>
  <si>
    <t>Fermented milk products</t>
  </si>
  <si>
    <t xml:space="preserve"> HS codes: 0403 </t>
  </si>
  <si>
    <t>G/SPS/N/TUR/42/Rev.1</t>
  </si>
  <si>
    <t>Turkish Food Codex Communiqué on Olive Oil and Olive Pomace Oil</t>
  </si>
  <si>
    <t>The purpose of this Communiqué is to determine the criteria for olive oil and olive pomace oil in line with Codex Alimentarius Standards  EU legislation and International Olive Council  Standards.</t>
  </si>
  <si>
    <t>Colombia</t>
  </si>
  <si>
    <t>G/SPS/N/COL/238/Add.2</t>
  </si>
  <si>
    <t>Health measure establishing the sanitary requirements for the operation of poultry slaughter plants</t>
  </si>
  <si>
    <t>The Republic of Colombia hereby notifies a draft amendment to Ministry of Health and Social Welfare Resolution No. 242 of 31 January 2013 "Establishing the sanitary requirements for the operation of plants engaged in the slaughter of poultry and the cutting  storage  marketing  sale  transport  importation and exportation of the meat and edible meat products thereof"  notified on 18 February 2013 by the World Trade Organization in document G/SPS/N/COL/238/Add.1. A deadline for comments on the draft amendment has been set at 10 February 2017.  Text available at: http://members.wto.org/crnattachments/2016/SPS/COL/16_4711_00_s.pdf.</t>
  </si>
  <si>
    <t xml:space="preserve"> HS codes: 0207 </t>
  </si>
  <si>
    <t>G/SPS/N/CRI/181</t>
  </si>
  <si>
    <t>Resolución N° 101-2016-ARP-SFE (Resolution No. 101-2016-ARP-SFE)</t>
  </si>
  <si>
    <t>The notified text establishes the mandatory phytosanitary requirements governing the importation of green coffee beans (Coffea arabica L.) from Colombia. Shipments must be accompanied by an official phytosanitary certificate issued by the country of origin. The product must be packed in unused sacks and properly identified.Upon arrival in the country  shipments will be subject to phytosanitary control by State Phytosanitary Service officials at the point of entry  who will verify compliance with the phytosanitary requirements and conditions applicable to the product.Failure to comply with the phytosanitary requirements established in this Resolution will be punishable under Law No. 7664 (Plant Protection Law) and its implementing regulations.</t>
  </si>
  <si>
    <t>HS code 0901: Green coffee beans (Coffea arabica L.)</t>
  </si>
  <si>
    <t>Plant protection</t>
  </si>
  <si>
    <t>Plant health</t>
  </si>
  <si>
    <t>G/SPS/N/USA/2909</t>
  </si>
  <si>
    <t>Spirotetramat  Pesticide Tolerance  Final Rule</t>
  </si>
  <si>
    <t>This regulation establishes a tolerance for residues of spirotetramat in or on asparagus.</t>
  </si>
  <si>
    <t>Asparagus</t>
  </si>
  <si>
    <t xml:space="preserve"> HS codes: 070920  200560 </t>
  </si>
  <si>
    <t>G/SPS/N/AUS/403</t>
  </si>
  <si>
    <t>Fish and fish products for histamine analysis - Proposed risk food classification - request for comment</t>
  </si>
  <si>
    <t>Australia is preparing science-based risk statements on the risks associated with certain imported foods. As each risk statement is prepared  they are published on the Food Standards Australia New Zealand website (http://www.foodstandards.gov.au/consumer/importedfoods/Pages/FSANZ-advice-on-imported-food.aspx). In response to the risk statement on fish and fish products for histamine  Australia is proposing changes to the inspection and analysis of specified fish and fish products. Australia proposes these changes to ensure that these fish and fish products do not contain more than 200 mg/kg of histamine in the fish or fish products. Under the proposed changes: - fish and fish products that are  or contain more than 300 g/kg of  fish of the families Scombridae  Coryphaenidae  Pomatomidae  Carangidae  Clupeidae  Engraulidae or Scomberesocidae would be classified as risk food under the Imported Food Control Act 1992  and - the specified fish and fish products would be subject to an initial 100 per cent rate of inspection and analysis for histamine. If consignments are found to comply with the 200 mg/kg level in the Australia New Zealand Food Standards Code then this rate of inspection and analysis would reduce to 25 per cent of consignments from each producer and then ultimately to 5 per cent of consignments from each producer. Specific detail on the kinds of fish and the initial increase in the rate of inspection and analysis is available at http://www.agriculture.gov.au/import/goods/food/notices/ifn-17-16. It is expected that these changes would take effect in December 2016.</t>
  </si>
  <si>
    <t>Fish and Fish products</t>
  </si>
  <si>
    <t xml:space="preserve"> HS codes: 1603  1604  03  1605 </t>
  </si>
  <si>
    <t>G/SPS/N/JPN/481</t>
  </si>
  <si>
    <t>Revision of the Standards and Specifications for Foods and Food Additives under the Food Sanitation Act (revision of agricultural chemical residue standards)</t>
  </si>
  <si>
    <t>Proposed maximum residue limits (MRLs) for the following agricultural chemical: Pesticide: Mepanipyrim.</t>
  </si>
  <si>
    <t>- Edible vegetables and certain roots and tubers (HS Codes: 07.02  07.03  07.05  07.07  07.08  07.09  07.10 and 07.13) - Edible fruits and nuts  peel of citrus/melons (HS Codes: 08.03  08.04  08.05  08.06  08.07  08.08  08.09  08.10  08.11 and 08.14) - Co</t>
  </si>
  <si>
    <t xml:space="preserve"> HS codes: 0703  0807  0907  0809  0708  0811  0805  0705  0803  1202  0810  0910  0707  0709  0710  0713  0903  0905  0909  0908  0906  0814  0808  0806  0904  0804  0702 </t>
  </si>
  <si>
    <t>G/SPS/N/JPN/479</t>
  </si>
  <si>
    <t>Proposed maximum residue limits (MRLs) for the following agricultural chemical: Pesticide: Chinomethionat.</t>
  </si>
  <si>
    <t xml:space="preserve">- Edible vegetables and certain roots and tubers (HS Codes: 07.01  07.02  07.03  07.04  07.05  07.06  07.07  07.08  07.09  07.10  07.13 and 07.14) - Edible fruits and nuts  peel of citrus/melons (HS Codes: 08.01  08.02  08.03  08.04  08.05  08.06  08.07  </t>
  </si>
  <si>
    <t xml:space="preserve"> HS codes: 0714  1204  0907  0811  0703  1212  0910  1002  1207  0805  1008  0802  0705  0807  1005  0710  0708  0713  0704  1003  0909  1001  0709  0707  0801  0701  0903  0706  0905  0808  1007  0906  0810  0809  0814  0803  0908  0904  1004  0806  0804  0702 </t>
  </si>
  <si>
    <t>G/SPS/N/JPN/480</t>
  </si>
  <si>
    <t>Proposed maximum residue limits (MRLs) for the following agricultural chemical: Pesticide: Cyflumetofen.</t>
  </si>
  <si>
    <t>- Meat and edible meat offal (HS Codes: 02.01  02.02  02.03  02.04  02.05  02.06 and 02.08) - Dairy produce (HS Code: 04.01) - Products of animal origin (HS Code: 05.04) - Edible vegetables and certain roots and tubers (HS Codes: 07.02  07.07  07.09  07.1</t>
  </si>
  <si>
    <t xml:space="preserve"> HS codes: 0702  0806  0904  1506  0908  0714  0205  0814  0808  0810  0905  0707  0903  0801  0504  1502  0401  0802  0202  0902  0909  0204  0910  0208  1501  0811  0710  0206  0203  0805  0807  0907  0906  0809  0201  0709 </t>
  </si>
  <si>
    <t>G/SPS/N/JPN/477</t>
  </si>
  <si>
    <t>Proposed maximum residue limits (MRLs) for the following agricultural chemical: Pesticide and Veterinary drug: Abamectin.</t>
  </si>
  <si>
    <t>- Meat and edible meat offal (HS Codes: 02.01  02.02  02.03  02.04  02.05  02.06 and 02.08) - Dairy produce (HS Code: 04.01) - Products of animal origin (HS Code: 05.04) - Edible vegetables and certain roots and tubers (HS Codes: 07.01  07.02  07.03  07.0</t>
  </si>
  <si>
    <t xml:space="preserve"> HS codes: 0201  1501  0814  0906  1207  0401  0907  0809  0805  0203  0807  0713  0710  0205  0810  0910  1201  0802  1202  0709  0811  0707  0705  0206  0902  0801  0204  0202  0701  0905  0909  0903  0708  0504  0703  0714  0808  0908  0208  1502  1210  0904  0806  1506  0804  0702 </t>
  </si>
  <si>
    <t>G/SPS/N/JPN/482</t>
  </si>
  <si>
    <t>Proposed maximum residue limits (MRLs) for the following agricultural chemical: Pesticide: Prohexadione-calcium.</t>
  </si>
  <si>
    <t xml:space="preserve"> HS codes: 1004  0804  0702  0904  0806  1506  0814  0803  1205  0908  0809  0205  0906  1006  1502  1210  0808  1007  0905  0810  0903  0801  0401  0701  0902  0901  0202  0709  0707  1202  0708  1003  0807  0204  0909  0201  1206  0710  0713  0706  0206  1801  0504  0704  0802  0208  1005  0705  1008  1501  1001  0203  0805  1207  1002  0811  0703  0910  1212  0714  1204  0907  1201 </t>
  </si>
  <si>
    <t>G/SPS/N/JPN/478</t>
  </si>
  <si>
    <t>Proposed maximum residue limits (MRLs) for the following agricultural chemical: Veterinary drug: Altrenogest.</t>
  </si>
  <si>
    <t>- Meat and edible meat offal (HS Codes: 02.01  02.02  02.03  02.04  02.05  02.06  02.07  02.08 and 02.09) - Fish and crustaceans  molluscs and other aquatic invertebrates (HS Codes: 03.02  03.03  03.04  03.06 and 03.07) - Dairy produce  birds' eggs and na</t>
  </si>
  <si>
    <t xml:space="preserve"> HS codes: 1506  0302  0409  0408  1502  0504  0206  0204  0202  0303  0307  0205  0209  0203  0401  0207  1501  0306  0208  0407  0304  0201 </t>
  </si>
  <si>
    <t>G/SPS/N/LKA/10/Add.3</t>
  </si>
  <si>
    <t>Milk and milk products</t>
  </si>
  <si>
    <t xml:space="preserve"> HS codes: 0406  0402  0405  0403  0401  0404 </t>
  </si>
  <si>
    <t>G/SPS/N/SAU/213</t>
  </si>
  <si>
    <t xml:space="preserve"> HS codes: 0207  0407 </t>
  </si>
  <si>
    <t>Animal diseases  Avian Influenza  Food safety  Human health  Pest or Disease free Regions  Zoonoses</t>
  </si>
  <si>
    <t>Togo</t>
  </si>
  <si>
    <t>Paraguay</t>
  </si>
  <si>
    <t>G/SPS/N/ZAF/46</t>
  </si>
  <si>
    <t>Regulations relating to Maximum Levels of Metals in Foodstuffs</t>
  </si>
  <si>
    <t>The proposed Regulations make provision for the maximum levels of metals in foodstuffs under the control of the Department of Health  in terms of the Foodstuffs  Cosmetics and Disinfectants Act  1972 (Act 54 of 1972).</t>
  </si>
  <si>
    <t>HS Code: 16  HS Code: 17  HS Code: 18  HS Code: 1901  HS Code: 1902  HS Code: 1903  HS Code: 1904  HS Code: 2001  HS Code: 2002  HS Code: 2003  HS Code: 2004  ICS Code: 67</t>
  </si>
  <si>
    <t xml:space="preserve"> HS codes: 16  0401  0404  0403  0402 </t>
  </si>
  <si>
    <t>G/SPS/N/ZAF/47</t>
  </si>
  <si>
    <t>Regulations Governing Tolerances for Fungus-Produced Toxins in Foodstuffs: Amendment</t>
  </si>
  <si>
    <t>The Regulations make provision for the Maximum Levels of Fungus-Produced Toxins in Foodstuffs under the control of the Department of Health  in terms of the Foodstuffs  Cosmetics and Disinfectants Act  1972 (Act No. 54 of 1972).</t>
  </si>
  <si>
    <t>HS Code: 12  HS Code: 1104</t>
  </si>
  <si>
    <t xml:space="preserve"> HS codes: 0403  0404  0401  0402  16 </t>
  </si>
  <si>
    <t>G/SPS/N/USA/2893</t>
  </si>
  <si>
    <t>Records To Be Kept by Official Establishments and Retail Stores That Grind Raw Beef Products</t>
  </si>
  <si>
    <t>The Food Safety and Inspection Service (FSIS) is amending its recordkeeping regulations to require that all official establishments and retail stores that grind raw beef products for sale in commerce maintain the following records: The establishment numbers of establishments supplying material used to prepare each lot of raw ground beef product  all supplier lot numbers and production dates  the names of the supplied materials  including beef components and any materials carried over from one production lot to the next  the date and time each lot of raw ground beef product is produced  and the date and time when grinding equipment and other related food-contact surfaces are cleaned and sanitized. These requirements also apply to raw beef products that are ground at an individual customer's request when new source materials are used. Effective date: 20 June 2016. A related measure was previously notified on 16 May 2012 as G/SPS/N/USA/2373.</t>
  </si>
  <si>
    <t>Raw ground beef products</t>
  </si>
  <si>
    <t xml:space="preserve"> HS codes: 0202  0201 </t>
  </si>
  <si>
    <t>G/SPS/N/TPKM/411</t>
  </si>
  <si>
    <t>The detailed list of imported Chinese raw herbs applied for the Ministry of Health and Welfare</t>
  </si>
  <si>
    <t>This draft technical regulation concerns the safety and quality of the traditional Chinese medicine raw materials.</t>
  </si>
  <si>
    <t>Traditional Chinese medicine raw materials</t>
  </si>
  <si>
    <t xml:space="preserve"> HS codes: 1211  0814 </t>
  </si>
  <si>
    <t>Food safety  Human health  Pharmaceutical products  Plant diseases</t>
  </si>
  <si>
    <t>G/SPS/N/IND/160</t>
  </si>
  <si>
    <t>Amendment to the notification issued by India vide S.O. 2337(E) dated 8 July 2016</t>
  </si>
  <si>
    <t>Import of poultry and poultry products into India in view of outbreak of Avian Influenza in the country/zones/compartments.</t>
  </si>
  <si>
    <t>Poultry and poultry products</t>
  </si>
  <si>
    <t xml:space="preserve"> HS codes: 0407  0105  0207 </t>
  </si>
  <si>
    <t>Animal diseases  Animal health  Avian Influenza  Zoonoses</t>
  </si>
  <si>
    <t>G/SPS/N/UGA/3</t>
  </si>
  <si>
    <t>Local Government (Nakaseeke) Maize Ordinance</t>
  </si>
  <si>
    <t>The draft Nakaseeke Local Government Ordinance specifies the requirements for production  handling  packaging  transporting and selling of maize and maize products.</t>
  </si>
  <si>
    <t>Maize - HS Code: 110220  ICS Code: 67.060</t>
  </si>
  <si>
    <t xml:space="preserve"> HS codes: 110220  10 </t>
  </si>
  <si>
    <t>G/SPS/N/BRA/1183</t>
  </si>
  <si>
    <t>Draft resolution regarding the mandatory enrichment of wheat and corn flours with iron and folic acid</t>
  </si>
  <si>
    <t>Draft Resolution regarding the mandatory enrichment of wheat and corn flours with iron and folic acid. This Resolution revokes the Resolution RDC 344  13 September 2002.</t>
  </si>
  <si>
    <t>Wheat and corn flours enriched with iron and folic acid</t>
  </si>
  <si>
    <t xml:space="preserve"> HS codes: 110812  110811 </t>
  </si>
  <si>
    <t>Dominican Republic</t>
  </si>
  <si>
    <t>G/SPS/N/DOM/66</t>
  </si>
  <si>
    <t>Resolución No. RES-MA-2016-10 que establece la vacunación contra la Peste Porcina Clásica y crea la Comisión ejecutiva para el Control y la Erradicación de la Peste Porcina Clásica (Resolution No. RES-MA-2016-10 introducing vaccination against classical swine fever and creating the Executive Committee for the Control and Eradication of Classical Swine Fever)</t>
  </si>
  <si>
    <t>The Dominican Republic has decided to begin a nationwide vaccination campaign against classical swine fever  following the reappearance of this disease in national territory.Animal owners must present the relevant vaccination certificate  which must be up to date and signed by an official or accredited veterinarian  in order to move pigs and pig products from one location to another or to market these animals and products. The certificate must also be presented in any other situation in which the authorities wish to verify that the animals concerned have been vaccinated.The notified text establishes the Executive Committee for the Control and Eradication of Classical Swine Fever. The ultimate aim of the Committee's work is to eradicate classical swine fever throughout national territory  have the country recognised as one free of the disease  and ensure adequate surveillance in order to maintain this status.</t>
  </si>
  <si>
    <t>Swine  swine products and by-products.</t>
  </si>
  <si>
    <t xml:space="preserve"> HS codes: 16024  0103  0203 </t>
  </si>
  <si>
    <t>Animal diseases  Animal health  Classical Swine Fever</t>
  </si>
  <si>
    <t>G/SPS/N/DOM/17/Rev.1/Add.1</t>
  </si>
  <si>
    <t>Draft Sanitary Regulation of the Dominican Republic on milk and milk products</t>
  </si>
  <si>
    <t>Extension of the final date for comments given in notification G/SPS/N/DOM/17/Rev.1 of 19 July 2016 in respect of a proposal for a draft Sanitary Regulation of the Dominican Republic on milk and milk products. Text available at: http://cnmsf.gob.do/Portals/0/docs/Texto%20Legales/Reglamentos/Proyecto%20de%20Reglamento%20sanitario%20de%20Leche%20y%20Productos%20l%C3%A1cteos%20de%20la%20Rep%C3%BAblica%20Dominicana.pdf</t>
  </si>
  <si>
    <t xml:space="preserve"> HS codes: 0403  0406  0405  0402  0404  0401 </t>
  </si>
  <si>
    <t>G/SPS/N/ARE/75</t>
  </si>
  <si>
    <t>Lifting of the temporary ban on the importation of domestic and wild birds and their products including poultry meat  day-old chicks  eggs  from Emilia-Romagna  province in Italy to the UAE</t>
  </si>
  <si>
    <t>United Arab Emirates is lifting the ban on the importation of domestic and wild birds and their products including poultry meat  day-old chicks and eggs originating from Emilia-Romagna  Italy.</t>
  </si>
  <si>
    <t>Live poultry (HS Code: 0105)  and poultry products including poultry meat (HS Code: 0207)  day-old chicks (HS Code: 0105.11)  hatching eggs</t>
  </si>
  <si>
    <t xml:space="preserve"> HS codes: 0207  010511  0105  0407 </t>
  </si>
  <si>
    <t>G/SPS/N/IND/156</t>
  </si>
  <si>
    <t>Draft Food Safety and Standards (Contaminants  toxins and residues) Amendment Regulations  2016</t>
  </si>
  <si>
    <t>Draft Food Safety and Standards (Contaminants  toxins and Residues) Amendment Regulations  2016 relating to standards for hydrocyanic acid in sago.</t>
  </si>
  <si>
    <t>Standards for hydrocyanic acid in sago</t>
  </si>
  <si>
    <t xml:space="preserve"> HS codes: 110819 </t>
  </si>
  <si>
    <t>G/SPS/N/ARE/79#G/SPS/N/BHR/159#G/SPS/N/KWT/8#G/SPS/N/OMN/59#G/SPS/N/QAT/63#G/SPS/N/SAU/210#G/SPS/N/YEM/4</t>
  </si>
  <si>
    <t>The Kingdom of Saudi Arabia/The Cooperation Council for the Arab States of the Gulf Draft Technical Regulation for: "Jams  Jellies and Marmalade"</t>
  </si>
  <si>
    <t>This draft technical regulation applies to jams  jellies and marmalades that offered for direct consumption  including for catering purposes or for repacking if required.</t>
  </si>
  <si>
    <t>Fruits  vegetables (ICS Code: 67.080)</t>
  </si>
  <si>
    <t xml:space="preserve"> HS codes: 2007 </t>
  </si>
  <si>
    <t>G/SPS/N/ARE/76#G/SPS/N/BHR/156#G/SPS/N/KWT/5#G/SPS/N/OMN/56#G/SPS/N/QAT/60#G/SPS/N/SAU/207#G/SPS/N/YEM/1</t>
  </si>
  <si>
    <t>The Kingdom of Saudi Arabia/The Cooperation Council for the Arab States of the Gulf Draft Technical Regulation for: "Barley Flour"</t>
  </si>
  <si>
    <t>This draft technical regulation applies to barley flour prepared for direct human consumption of barley grain (Hordeum vulgare) and does not include malt flour.</t>
  </si>
  <si>
    <t>Cereals  pulses and derived products (ICS Codes: 67.060)</t>
  </si>
  <si>
    <t xml:space="preserve"> HS codes: 110290 </t>
  </si>
  <si>
    <t>G/SPS/N/ARE/77#G/SPS/N/BHR/157#G/SPS/N/KWT/6#G/SPS/N/OMN/57#G/SPS/N/QAT/61#G/SPS/N/SAU/208#G/SPS/N/YEM/2</t>
  </si>
  <si>
    <t>The Kingdom of Saudi Arabia/The Cooperation Council for the Arab States of the Gulf Draft Technical Regulation for: "Cheddar Cheese"</t>
  </si>
  <si>
    <t>This draft technical regulation applies to cheddar intended for direct consumption or for further processing.</t>
  </si>
  <si>
    <t>Cheese (ICS Code: 67.100.30)</t>
  </si>
  <si>
    <t xml:space="preserve"> HS codes: 040690 </t>
  </si>
  <si>
    <t>G/SPS/N/ARE/78#G/SPS/N/BHR/158#G/SPS/N/KWT/7#G/SPS/N/OMN/58#G/SPS/N/QAT/62#G/SPS/N/SAU/209#G/SPS/N/YEM/3</t>
  </si>
  <si>
    <t>The Kingdom of Saudi Arabia/The Cooperation Council for the Arab States of the Gulf Draft Technical Regulation for: "Cream Analogue"</t>
  </si>
  <si>
    <t>This draft technical regulation applies to basic requirement with cream analogue pasteurized and sterilized and ultra-high heat-treated.</t>
  </si>
  <si>
    <t>Milk and milk products in general (ICS Code: 67.100.01)</t>
  </si>
  <si>
    <t>Cereals  pulses and derived products (ICS Code: 67.060)</t>
  </si>
  <si>
    <t>G/SPS/N/MEX/304</t>
  </si>
  <si>
    <t>Requisitos Fitosanitarios para la importación de arroz palay (Oryza sativa) originario y procedente de Guyana (Phytosanitary requirements governing the importation into Mexico of paddy rice (Oryza sativa) originating in and coming from Guyana)</t>
  </si>
  <si>
    <t>Pursuant to the Decision establishing the module of phytosanitary requirements for the importation of goods regulated by the Ministry of Agriculture  Livestock  Rural Development  Fisheries and Food in relation to plant health (Acuerdo por el que se establece el módulo de requisitos fitosanitarios para la importación de mercancías reguladas por la Secretaría de Agricultura  Ganadería  Desarrollo Rural  Pesca y Alimentación  en materia de sanidad vegetal)  published in the Mexican Official Journal on 7 February 2012  the phytosanitary requirements for the importation into Mexico of paddy rice (Oryza sativa) originating in and coming from Guyana  established on the basis of a pest risk analysis  have been submitted to public comment. Imports of rice must be accompanied by a phytosanitary certificate  have been subjected to a phytosanitary treatment and meet certain requirements as regards packaging.</t>
  </si>
  <si>
    <t>Paddy (palay) rice (Oryza sativa)</t>
  </si>
  <si>
    <t xml:space="preserve"> HS codes: 100610 </t>
  </si>
  <si>
    <t>Protect humans from animal/plant pest or disease  Protect territory from other damage from pests</t>
  </si>
  <si>
    <t>Pests  Plant health  Territory protection</t>
  </si>
  <si>
    <t>G/SPS/N/NIC/97</t>
  </si>
  <si>
    <t>Resolución Ejecutiva No. 006-2015 para identificación del uso de cubas de congelación en barcos atuneros (Executive Resolution No. 006-2015 on the use of freezer tanks on tuna-fishing vessels)</t>
  </si>
  <si>
    <t>The notified Executive Resolution provides that the operators  licensees and/or shipowners of freezer vessels under the national flag that catch fish resources in international waters are required to comply with the provisions of Chapter IV  paragraph 2  of Annex II to Regulation (EC) No 852/2004 of the European Parliament and of the Council of 29 April 2004 on the hygiene of foodstuffs.</t>
  </si>
  <si>
    <t>Freezer tanks on tuna-fishing vessels</t>
  </si>
  <si>
    <t xml:space="preserve"> HS codes: 0302  0303 </t>
  </si>
  <si>
    <t>G/SPS/N/JPN/476</t>
  </si>
  <si>
    <t>Amendments to the Enforcement Ordinance of the Standards of Feed and Feed Additives</t>
  </si>
  <si>
    <t>To add standards and specifications of Bacillus subtilis and Phytase.</t>
  </si>
  <si>
    <t>Bacillus subtilis and Phytase as feed additives</t>
  </si>
  <si>
    <t>G/SPS/N/LKA/10/Add.2</t>
  </si>
  <si>
    <t xml:space="preserve"> HS codes: 0401  0402  0403  0405  0406  0404 </t>
  </si>
  <si>
    <t>G/SPS/N/NZL/540</t>
  </si>
  <si>
    <t xml:space="preserve">Import health standard for the importation of fresh and frozen truffles for consumption </t>
  </si>
  <si>
    <t>New import health standard for the importation of fresh and frozen truffles for consumption.</t>
  </si>
  <si>
    <t>Truffles</t>
  </si>
  <si>
    <t xml:space="preserve"> HS codes: 070952  071080 </t>
  </si>
  <si>
    <t>Plant protection  Protect humans from animal/plant pest or disease</t>
  </si>
  <si>
    <t>Pests  Plant health</t>
  </si>
  <si>
    <t>G/SPS/N/AUS/393</t>
  </si>
  <si>
    <t>Cooked turkey meat from the United States - Draft Review</t>
  </si>
  <si>
    <t>The department has released a draft review of the risk management of cooked turkey meat from the United States of America for a 60-day consultation period. The draft review recommends that: - cooking turkey meat to a minimum core temperature of 76.6 °C (170 °F) for at least 30 minutes  sourcing turkey meat from abattoirs and processing facilities approved by the USDA and importing muscle meat only (no whole birds)  will reduce any biosecurity risks of turkey pathogens identified to a level that is consistent with Australia's ALOP.  Submissions proposing equivalence measures for cooking time and temperature will be assessed on a case-by-case basis. The department intends to release a final review on the risk management of cooked turkey meat from the United States of America following assessment of submissions received in response to the draft review.</t>
  </si>
  <si>
    <t>Cooked turkey meat</t>
  </si>
  <si>
    <t xml:space="preserve"> HS codes: 160231  0207 </t>
  </si>
  <si>
    <t>G/SPS/N/EGY/78</t>
  </si>
  <si>
    <t>Ministerial Decree No. 256/2016 that mandates the Egyptian standard ES No. 49-2/2016 "Olive Oils and Olive Pomace Oils"</t>
  </si>
  <si>
    <t>Ministerial Decree No. 256/2016 gives producers and importers a six-month transitional period to comply with Egyptian standard ES No. 49 2/2016 "Olive Oils and Olive Pomace Oils". This decree mandates that producers and importers must comply with the requirements prescribed in the Egyptian standard ES 49-2/2016 "Olive Oils and Olive Pomace Oils" which complies with CODEX STAN 33-1981  adopted in 1981 - Revision: 1989  2003  Amendment: 2009  2013  2015 for Olive Oils And Olive Pomace Oils.  Egyptian standard ES No. 49-2/2016 supersedes ES No. 49-2/2005 that has already been mandated since 2005 by the Ministerial Decree No. 515/2005.</t>
  </si>
  <si>
    <t>Animal and vegetable fats and oils</t>
  </si>
  <si>
    <t xml:space="preserve"> HS codes: 1510 </t>
  </si>
  <si>
    <t>G/SPS/N/USA/2839/Add.1</t>
  </si>
  <si>
    <t xml:space="preserve"> HS codes: 0207  0105  0407 </t>
  </si>
  <si>
    <t>G/SPS/N/USA/2807/Add.1</t>
  </si>
  <si>
    <t>Bovine products</t>
  </si>
  <si>
    <t>G/SPS/N/EGY/60/Add.2</t>
  </si>
  <si>
    <t>Fish products</t>
  </si>
  <si>
    <t xml:space="preserve"> HS codes: 160414 </t>
  </si>
  <si>
    <t>G/SPS/N/KOR/544</t>
  </si>
  <si>
    <t>Import Health Requirements for poultry</t>
  </si>
  <si>
    <t>Import health requirements such as quarantine and animal disease-free situation in the exporting country with regards to poultry that are imported to the Republic of Korea.</t>
  </si>
  <si>
    <t>Poultry (chicken  ducks  geese  turkeys  quails  pheasants and wild geese)</t>
  </si>
  <si>
    <t>G/SPS/N/PHL/337</t>
  </si>
  <si>
    <t>Draft Philippines National Standard Code of Good Aquaculture Practices (GAqP) for Oysters and Mussels</t>
  </si>
  <si>
    <t>This Code of Good Aquaculture Practices (GAqP) for oysters and mussels covers practices that aim to prevent or minimize the risks associated with aquaculture production in brackish and marine waters. This Code covers the following aspects of aquaculture production addressing food safety  environmental integrity  and socio-economic welfare.</t>
  </si>
  <si>
    <t>Oysters and mussels</t>
  </si>
  <si>
    <t xml:space="preserve"> HS codes: 03073  030710 </t>
  </si>
  <si>
    <t>G/SPS/N/IND/155</t>
  </si>
  <si>
    <t>The Draft Food Safety and Standards (Food Products Standards and Food Additives) Amendment Regulations  2016 details the standards for fortified atta  fortified maida  durum wheat maida  quinoa  fortified rice  instant noodles  tapioca sago or palm sago and pearl millet flour.</t>
  </si>
  <si>
    <t>Standards for fortified atta  fortified maida  durum wheat maida  quinoa  fortified rice  instant noodles  tapioca sago or palm sago and pearl millet flour</t>
  </si>
  <si>
    <t xml:space="preserve"> HS codes: 110819  1006  1902  100820  1001 </t>
  </si>
  <si>
    <t>G/SPS/N/IND/151</t>
  </si>
  <si>
    <t>Draft Food Safety and Standards (Food Products Standards and Food Additives) Amendment Regulations  2016 relating to Regulation 2.2 Fats  Oils and Fat Emulsions.</t>
  </si>
  <si>
    <t>Virgin coconut oil  linseed oil  rapeseed oil or mustard oil-low erucic acid  palm oil  palm kernel oil  cocoa butter  peanut butter</t>
  </si>
  <si>
    <t xml:space="preserve"> HS codes: 151790  1511  1513  1515  1514  200811  200819  1804  15151 </t>
  </si>
  <si>
    <t>G/SPS/N/PER/658</t>
  </si>
  <si>
    <t>Resolución Directoral para el establecimiento de requisitos fitosanitarios de necesario cumplimiento en la importación de grano de arroz basmati pulido o pilado (Oryza sativa) de origen y procedencia India (Directorial Resolution establishing the mandatory phytosanitary requirements governing the importation of polished or pounded basmati rice (Oryza sativa) originating in and coming from India)</t>
  </si>
  <si>
    <t>The notified Directorial Resolution establishes the phytosanitary requirements governing the importation into Peru of polished or pounded basmati rice (Oryza sativa) originating in and coming from India.</t>
  </si>
  <si>
    <t>HS code 1006.30.00.00: Polished or pounded basmati rice (Oryza sativa)</t>
  </si>
  <si>
    <t xml:space="preserve"> HS codes: 10  100630 </t>
  </si>
  <si>
    <t>G/SPS/N/IND/154</t>
  </si>
  <si>
    <t>Draft Food Safety and Standards (Food Products Standards and Food Additives) Amendment Regulations  2016 relating to "Fruit &amp; Vegetable products" in Regulation 2.3.</t>
  </si>
  <si>
    <t>Vanilla  coconut milk  coconut cream  dried apricots  cocoa beans  arecanuts or betelnuts or supari  cinnamon (dalchini) whole  cinnamon (dalchini) powder and seasoning for noodles and pasta</t>
  </si>
  <si>
    <t xml:space="preserve"> HS codes: 081310  1801  090620  0905  0802  2008 </t>
  </si>
  <si>
    <t>G/SPS/N/THA/232/Rev.1/Add.1</t>
  </si>
  <si>
    <t>Beef and beef products (HS Codes: 0201  0202  04  0506  1502 etc.)</t>
  </si>
  <si>
    <t xml:space="preserve"> HS codes: 0506  0201  1502  0202  04 </t>
  </si>
  <si>
    <t>G/SPS/N/JPN/458/Rev.1</t>
  </si>
  <si>
    <t>Revision of the Standards and Specifications for Foods and Food Additives under the Food Sanitation Law (Revision of agricultural chemical residue standards)</t>
  </si>
  <si>
    <t>Proposed maximum residue limits (MRLs) for the following agricultural chemicals: Pesticide: Fluazifop-butyl. The draft maximum residue limits (MRLs) for Fluazifop-butyl were circulated for comments through the WTO/SPS notification as G/SPS/N/JPN/458 on 10 May 2016. The MHLW has decided to modify the draft MRLs for Fluazifop-butyl in Cucumber and Strawberry because the MHLW found out that Fluazifop-butyl is not used for such commodities in Japan and other countries.</t>
  </si>
  <si>
    <t>- Meat and edible meat offal (HS Codes: 02.01  02.02  02.03  02.04  02.05  02.06  02.07  02.08 and 02.09) - Dairy produce and birds' eggs (HS Codes: 04.01  04.07 and 04.08) - Products of animal origin (HS Code: 05.04) - Edible vegetables and certain roots</t>
  </si>
  <si>
    <t xml:space="preserve"> HS codes: 0805  0801  0707  0401  0908  0907  0814  0904  1501  0806  0709  0407  0713  0206  0701  0209  0703  0706  0901  0203  0714  1201  0201  0710  0408  0204  0705  0704  1502  0803  0207  0504  1212  0802  1506  0809  1210  0208  1202  0903  1207  1204  0807  1205  0808  0810  0804  0906  1206  0811  0905  0910  0202  0708  0909  0702  0205 </t>
  </si>
  <si>
    <t>G/SPS/N/JPN/467</t>
  </si>
  <si>
    <t>Revision of the Standards and Specifications for Foods and Food Additives under the Food Sanitation Act (Revision of agricultural chemical residue standards)</t>
  </si>
  <si>
    <t>Proposed maximum residue limits (MRLs) for the following agricultural chemical: Veterinary drug: Erythromycin.</t>
  </si>
  <si>
    <t>- Meat and edible meat offal (HS Codes: 02.01  02.02  02.03  02.04  02.05  02.06  02.07  02.08 and 02.09) - Fish and crustaceans  molluscs and other aquatic invertebrates (HS Codes: 03.02  03.03  03.04  03.06 and 03.07) - Dairy produce and birds' eggs (HS</t>
  </si>
  <si>
    <t xml:space="preserve"> HS codes: 0504  1506  0202  0408  0407  0302  0201  0401  1502  0204  0207  0307  0303  0304  0205  0209  0206  0208  1501  0203  0306 </t>
  </si>
  <si>
    <t>Food safety  Maximum residue limits (MRLs)  Veterinary drugs</t>
  </si>
  <si>
    <t>G/SPS/N/JPN/468</t>
  </si>
  <si>
    <t>Proposed maximum residue limits (MRLs) for the following agricultural chemical: Veterinary drug: Flumethrin.</t>
  </si>
  <si>
    <t xml:space="preserve"> HS codes: 0204  0201  0304  1501  0407  0307  0401  0303  0409  0203  0209  1502  0408  0504  1506  0306  0302  0208  0205  0207  0202  0206 </t>
  </si>
  <si>
    <t>G/SPS/N/JPN/466</t>
  </si>
  <si>
    <t>Proposed maximum residue limits (MRLs) for the following agricultural chemical: Pesticide: Ethofumesate.</t>
  </si>
  <si>
    <t>- Meat and edible meat offal (HS Codes: 02.01  02.02  02.03  02.04  02.05  02.06 and 02.08) - Dairy produce (HS Code: 04.01) - Products of animal origin (HS Code: 05.04) - Edible vegetables and certain roots and tubers (HS Codes: 07.03  07.09 and 07.10) -</t>
  </si>
  <si>
    <t xml:space="preserve"> HS codes: 0208  0904  1207  0907  1502  0909  0908  1501  0814  0703  0203  0202  0709  1506  0206  1212  0204  0401  0205  1204  0903  0906  0710  0910  0905  0201  0504 </t>
  </si>
  <si>
    <t>G/SPS/N/JPN/470</t>
  </si>
  <si>
    <t>Proposed maximum residue limits (MRLs) for the following agricultural chemical: Veterinary drug: Piperazine.</t>
  </si>
  <si>
    <t xml:space="preserve"> HS codes: 0201  0304  1501  0407  0307  0401  0303  0409  0203  0209  0408  1502  0504  1506  0306  0302  0204  0208  0205  0206  0202  0207 </t>
  </si>
  <si>
    <t>G/SPS/N/JPN/469</t>
  </si>
  <si>
    <t>Proposed maximum residue limits (MRLs) for the following agricultural chemical: Veterinary drug: Metoclopramide.</t>
  </si>
  <si>
    <t xml:space="preserve"> HS codes: 0205  0202  0302  0208  1506  0504  0207  1502  0204  0408  0307  0201  0304  0203  0409  0303  0209  0206  0407  1501  0306  0401 </t>
  </si>
  <si>
    <t>G/SPS/N/JPN/435/Rev.1</t>
  </si>
  <si>
    <t>Proposed maximum residue limits (MRLs) for the following agricultural chemicals: Pesticide: Etofenprox. Japan has received some comments and relevant data through the WTO/SPS notification as G/SPS/N/JPN/435 circulated on 9 December 2015. The MHLW has decided to modify the draft maximum residue limits (MRLs) for Etofenprox in some commodities based on the provided data.</t>
  </si>
  <si>
    <t>- Meat and edible meat offal (HS Codes: 02.01  02.02  02.03  02.04  02.05  02.06  02.07  02.08 and 02.09) - Fish and crustaceans  molluscs and other aquatic invertebrates (HS Codes: 03.02  03.03 and 03.04) - Dairy produce and birds' eggsy (HS Codes: 04.01</t>
  </si>
  <si>
    <t xml:space="preserve"> HS codes: 0713  0504  1212  0206  0802  0809  0807  0910  0708  0204  1004  0906  0905  1006  0804  0302  0709  1003  0808  0704  0202  0903  0810  1202  1002  0702  1506  1008  0902  0805  0705  0209  1205  0203  0401  0408  0701  1001  1005  1007  0707  1501  0304  0706  0909  0908  0303  0710  0714  1502  0207  0703  0907  1201  0814  0806  0208  0904  0205  0201  0407 </t>
  </si>
  <si>
    <t>G/SPS/N/USA/2876</t>
  </si>
  <si>
    <t>Notice of Availability: Proposed Changes to the National Poultry Improvement Plan Program Standards (APHIS-2016-0013)</t>
  </si>
  <si>
    <t>The Animal and Health Inspection Service (APHIS) is advising the public that proposed changes to the National Poultry Improvement Plan Program Standards are available for review and comment. Federal Register/Vol. 81  No. 133/Tuesday  12 July 2016/pgs. 45121-45122</t>
  </si>
  <si>
    <t>Poultry and poultry meat</t>
  </si>
  <si>
    <t>G/SPS/N/IND/150</t>
  </si>
  <si>
    <t>Import of poultry and poultry products into India in view of outbreak of Avian Influenza</t>
  </si>
  <si>
    <t xml:space="preserve"> HS codes: 0207  0407  0105 </t>
  </si>
  <si>
    <t>G/SPS/N/CAN/1013/Add.1</t>
  </si>
  <si>
    <t>Pesticide boscalid in or on Belgian endives (ICS Codes: 65.020  65.100  67.040  67.080)</t>
  </si>
  <si>
    <t xml:space="preserve"> HS codes: 170199  170112  170111 </t>
  </si>
  <si>
    <t>G/SPS/N/DOM/17/Rev.1</t>
  </si>
  <si>
    <t>Proyecto de Reglamento sanitario de Leche y Productos lácteos de la República Dominicana</t>
  </si>
  <si>
    <t xml:space="preserve">El presente proyecto de reglamento tiene como objetivo establecer las normas  jurídicas  técnicas y administrativas referentes a la inocuidad en la producción  distribución y consumo de leche y productos lácteos.   Este proyecto de reglamento establecerá las especificaciones sanitarias que deben cumplir los establecimientos que se dedican a la producción  procesamiento de leche y elaboración de productos lácteos  así como su almacenamiento  transporte y comercialización con la finalidad de garantizar la inocuidad de los mismos  sean estos destinados al consumo nacional o a la exportación. </t>
  </si>
  <si>
    <t xml:space="preserve">Leche y productos lácteos. </t>
  </si>
  <si>
    <t xml:space="preserve"> HS codes: 0406  0401  0403  0404  0405  0402 </t>
  </si>
  <si>
    <t>G/SPS/N/EU/143/Add.1</t>
  </si>
  <si>
    <t>List of invasive alien species</t>
  </si>
  <si>
    <t>The proposal notified in G/SPS/N/EU/143 (27 July 2015) has been adopted as "Commission Implementing Regulation (EU) 2016/1141 of 13 July 2016 adopting a list of invasive alien species of Union concern pursuant to Regulation (EU) No 1143/2014 of the European Parliament and of the Council" [OJ L 189  14 July 2016  p.4]. The Regulation will enter into force on 3 August 2016. http://members.wto.org/crnattachments/2016/SPS/EEC/16_2845_00_E.pdf http://members.wto.org/crnattachments/2016/SPS/EEC/16_2845_00_F.pdf http://members.wto.org/crnattachments/2016/SPS/EEC/16_2845_00_S.pdf</t>
  </si>
  <si>
    <t>HS Code(s): ex 01061900  ex 01063980  ex 01064900  ex 03019918  ex 03062480  ex 03062910  ex 04071990  ex 05119190  ex 06029045  ex 06029049  ex 06029050  ex 12093000  ex 12099999</t>
  </si>
  <si>
    <t xml:space="preserve"> HS codes: 030629  03019  010619  051191  030624  040700  060290  010639  120930  12099 </t>
  </si>
  <si>
    <t>Protect territory from other damage from pests</t>
  </si>
  <si>
    <t>Animal diseases  Animal health  Pest or Disease free Regions</t>
  </si>
  <si>
    <t>G/SPS/N/USA/2871</t>
  </si>
  <si>
    <t>Proposed Rule: Importation of Bone-In Ovine Meat from Uruguay (Docket No. APHIS_FRDOC_0001)</t>
  </si>
  <si>
    <t>APHIS is proposing to amend the regulations governing the importation of certain animals  meat  and other animal products by allowing  under certain conditions  the importation of bone-in ovine meat from Uruguay. Based on the evidence in a risk assessment that we have prepared  we believe that bone-in ovine meat can safely be imported from Uruguay provided certain conditions are met. This proposal would provide for the importation of bone-in ovine meat from Uruguay into the United States  while continuing to protect the United States against the introduction of foot-and-mouth disease.  Federal Register/Vol. 81  No. 127/Friday  1 July 2016/Pgs. 43115-43120</t>
  </si>
  <si>
    <t xml:space="preserve">Bone-in ovine meat </t>
  </si>
  <si>
    <t xml:space="preserve"> HS codes: 0204 </t>
  </si>
  <si>
    <t>G/SPS/N/COL/260/Add.1</t>
  </si>
  <si>
    <t>Health measure applicable to arsenic and arsenic compounds</t>
  </si>
  <si>
    <t>The Republic of Colombia hereby advises that the draft Colombian Agricultural Institute (ICA) Resolution "Prohibiting arsenic and arsenic compounds in the guaranteed composition of certain animal feeds and veterinary drugs for species producing food for human consumption"  notified on 28 October 2015 by the World Trade Organization in document G/SPS/N/COL/260  has been issued pursuant to Colombian Agricultural Institute (ICA) Resolution No. 00007168 of 16 June 2016  which entered into force on 17 June 2016.  Text available at: http://members.wto.org/crnattachments/2016/SPS/COL/16_2637_00_s.pdf.</t>
  </si>
  <si>
    <t>G/SPS/N/ZAF/43/Add.1</t>
  </si>
  <si>
    <t>Casings of porcine origin (HS Code(s): 0210)</t>
  </si>
  <si>
    <t xml:space="preserve"> HS codes: 0210  0504 </t>
  </si>
  <si>
    <t>G/SPS/N/PER/649</t>
  </si>
  <si>
    <t>Proyecto de Resolución Directoral para el establecimiento de requisitos fitosanitarios de necesario cumplimiento en la importación de arroz grano descascarillado (Oryza sativa) de origen y procedencia Brasil (Draft Directorial Resolution establishing mandatory phytosanitary requirements governing the importation into Peru of husked rice (Oryza sativa) originating in and coming from Brazil)</t>
  </si>
  <si>
    <t>The draft phytosanitary requirements governing the importation into Peru of husked rice (Oryza sativa) originating in and coming from Brazil are being submitted for public consultation following the completion of the relevant pest risk analysis.</t>
  </si>
  <si>
    <t>HS tariff subheading 1006.20.00.00: Husked (brown) rice (Oryza sativa)</t>
  </si>
  <si>
    <t xml:space="preserve"> HS codes: 10  100620 </t>
  </si>
  <si>
    <t>G/SPS/N/EU/167</t>
  </si>
  <si>
    <t>Commission Implementing Regulation (EU) 2016/1024 of 24 June 2016 amending Regulation (EC) No 669/2009 implementing Regulation (EC) No 882/2004 of the European Parliament and of the Council as regards the increased level of official controls on imports of certain feed and food of non-animal origin (Text with EEA relevance)</t>
  </si>
  <si>
    <t>This Regulation reviews the default frequency of the reviews of Annex I and the list of imports of feed and food of non-animal origin which are subject to an increased level of official controls. The changes concern: the de-listing of dried grapes from Afghanistan and almonds from Australia  the listing of hazelnuts from Georgia.</t>
  </si>
  <si>
    <t>HS Code(s): ex 07049090  ex 07081000  ex 07082000  07096010  07093000  ex 07094000  07096010  ex 07096099  ex 07099990  ex 07102200  07108051  ex 07108059  ex 07108095  08022100  08022200  08025100  08025200  08055010  08101000  ex 08109020  08112031  ex 08112011  ex 08112019  08131000  0902  ex 11063090  12024100  12024200  12074090  ex 12077000  ex 12119086  15111090  15119011  ex 15119019  15119099  20081110  20081191  20081196  20081198  20085061  ex 20089999  3507</t>
  </si>
  <si>
    <t xml:space="preserve"> HS codes: 0805  1207  1202  0802  07102  0709  070930  071080  0902  1106  0811  1511  2008  0708  0810  070940  070490  070960  070990  1211  3507  0813 </t>
  </si>
  <si>
    <t>HS Codes: 0105  0207  0407  05119</t>
  </si>
  <si>
    <t>G/SPS/N/IND/143/Corr.1</t>
  </si>
  <si>
    <t>Animal products</t>
  </si>
  <si>
    <t xml:space="preserve"> HS codes: 0105  0407  0207 </t>
  </si>
  <si>
    <t>G/SPS/N/THA/232/Rev.1</t>
  </si>
  <si>
    <t>Draft MOPH Notification  B.E. ...  entitled "Import Requirement for Food with Risk from Bovine Spongiform Encephalopathy"</t>
  </si>
  <si>
    <t>The Ministry of Public Health (MOPH) is proposing to revise the MOPH notification concerning Import Requirement for Food with Risk from Bovine Spongiform Encephalopathy as follows: 1. The MOPH Notification No. 296 (B.E. 2549) (2006) entitled "Re: Foods with Risk from Bovine Spongiform Encephalopathy"  dated 13 January 2006  and The MOPH Notification No. 375 (B.E. 2559) (2016) entitled "Import Requirement for Food with Risk from Bovine Spongiform Encephalopathy"  dated 1 April 2016 are repealed and replaced by this (Draft) MOPH Notification  2. Classified the BSE risk status of the bovine population of a country  zone or compartment into three categories according to the OIE criteria  as follows: - Category 1: Negligible BSE risk Country  - Category 2: Controlled BSE risk Country  and - Category 3: Undetermined BSE risk Country  3. Described the definitions of "Meat"  "Fresh Meat" and "Meat products"  4. Prescribed the import requirement to be in compliance with the OIE criteria  5. Prescribed the requirements of evidence or certificate or Health Certificate  to approve that the foods comply with the requirements  to present to the officer at the port of entry  6. This notification shall come into force on 21 July 2016.</t>
  </si>
  <si>
    <t xml:space="preserve"> HS codes: 0202  04  0201  0506  1502 </t>
  </si>
  <si>
    <t>Animal diseases  Bovine Spongiform Encephalopathy(BSE)  Food safety  Human health  Zoonoses</t>
  </si>
  <si>
    <t>G/SPS/N/RUS/23/Add.2</t>
  </si>
  <si>
    <t>0101  0102  0103  0104  0105  0106  0201  0202  0203  0204  0205 00  0206  0207  0208  0209  0210  0302  0303  0304  0305  0306  0307  0308  0401  0402  0403  0404  0405  0406  0407  0408  0410 00 000 0  0504 00 000 0  0505  0511  1501  1502  1503 00  1504  1506 00 000 0  1516 10  1516 20  1518 00  2309  3501  3502  3503  4206 00 000 0</t>
  </si>
  <si>
    <t xml:space="preserve"> HS codes: 0106  1518  0511  1501  1502  1504  1503  0201  0207  0407  0402  0204  0401  0410  0210  0101  0102  0306  0104  0203  0406  3503  0405  0404  0408  151620  0302  3501  0105  0206  0103  0205  0208  0304  1506  0307  2309  4206  3502  0209  0202  0305  0303  0403  151610 </t>
  </si>
  <si>
    <t>G/SPS/N/TPKM/386/Add.1</t>
  </si>
  <si>
    <t>Poultry  birds  and hatching eggs</t>
  </si>
  <si>
    <t xml:space="preserve"> HS codes: 0207  010511  0105  01 </t>
  </si>
  <si>
    <t>Animal diseases  Animal health  Avian Influenza  Food safety  Human health  Zoonoses</t>
  </si>
  <si>
    <t>G/SPS/N/JPN/463</t>
  </si>
  <si>
    <t>Establishment of Indicator Value for Listeria Monocytogenes for RTE (Ready-To-Eat) Frozen Vegetables and Fruits</t>
  </si>
  <si>
    <t>Setting indicator value for Listeria monocytogenes for frozen vegetables  which is used to judge compliance with the provision of Article 6(3) of the Food Sanitation Law.</t>
  </si>
  <si>
    <t>Frozen vegetables and fruits (HS Codes: 20.04  08.11)</t>
  </si>
  <si>
    <t xml:space="preserve"> HS codes: 0811  2004 </t>
  </si>
  <si>
    <t>Bacteria  Food safety  Human health  Listeria monocytogenes</t>
  </si>
  <si>
    <t>G/SPS/N/COL/262</t>
  </si>
  <si>
    <t xml:space="preserve"> HS codes: 020680  0204  020690 </t>
  </si>
  <si>
    <t>G/SPS/N/GTM/64</t>
  </si>
  <si>
    <t xml:space="preserve"> HS codes: 110220 </t>
  </si>
  <si>
    <t>G/SPS/N/GTM/63</t>
  </si>
  <si>
    <t>G/SPS/N/PHL/318/Add.1</t>
  </si>
  <si>
    <t xml:space="preserve"> HS codes: 05119  0105  0407  0207 </t>
  </si>
  <si>
    <t>Withdrawal of the measure</t>
  </si>
  <si>
    <t>G/SPS/N/VNM/78</t>
  </si>
  <si>
    <t>Draft Decree on state management on animal and aquaculture feed</t>
  </si>
  <si>
    <t>This draft decree specifies the state regulation relating to the conditions of trading  testing  registering  inspecting and advertising processes of animal and aquaculture feed products. The decree shall apply to organizations and individuals in the country  Vietnamese overseas  foreign organizations and individuals carrying out activities of or related to the trading  testing  registering  inspecting and advertising processes of animal and aquaculture feed products.</t>
  </si>
  <si>
    <t>Animal and aquaculture feed products</t>
  </si>
  <si>
    <t>Animal feed  Animal health  Food safety  Human health</t>
  </si>
  <si>
    <t>G/SPS/N/JPN/459</t>
  </si>
  <si>
    <t>Proposed maximum residue limits (MRLs) for the following agricultural chemical: Pesticide: Fluopyram.</t>
  </si>
  <si>
    <t>- Meat and edible meat offal (HS Codes: 02.01  02.02  02.03  02.04  02.05  02.06 and 02.08) - Dairy produce  birds' eggs and natural honey (HS Codes: 04.01  04.07 and 04.08) - Products of animal origin (HS Code: 05.04) - Edible vegetables and certain root</t>
  </si>
  <si>
    <t xml:space="preserve"> HS codes: 1502  0203  0701  0704  1202  1201  0808  0201  0408  0706  0806  1212  0401  0206  1205  1501  0710  0801  0407  0205  0707  0204  0202  0810  0705  1506  0702  0713  0802  0809  0803  0703  0709  0208  0504  0811 </t>
  </si>
  <si>
    <t>G/SPS/N/JPN/458</t>
  </si>
  <si>
    <t>Proposed maximum residue limits (MRLs) for the following agricultural chemical: Pesticide: Fluazifop-butyl.</t>
  </si>
  <si>
    <t>- Meat and edible meat offal (HS Codes: 02.01  02.02  02.03  02.04  02.05  02.06  02.07  02.08 and 02.09) - Dairy produce  birds' eggs and natural honey (HS Codes: 04.01  04.07 and 04.08) - Products of animal origin (HS Code: 05.04) - Edible vegetables an</t>
  </si>
  <si>
    <t xml:space="preserve"> HS codes: 0909  0208  0201  1207  1204  0713  0707  0703  0910  0803  0802  0209  0407  0504  1506  0809  0709  1210  0904  0811  0401  0702  0808  0814  0905  1201  0903  1205  0710  0705  0810  1501  0901  0708  0801  0205  0203  0908  1206  1212  0806  0207  0807  0408  0204  1502  0714  0701  0202  0206  0906  0907  1202  0804  0704  0805  0706 </t>
  </si>
  <si>
    <t>G/SPS/N/JPN/462</t>
  </si>
  <si>
    <t>Proposed maximum residue limits (MRLs) for the following agricultural chemical: Veterinary drug: Florfenicol.</t>
  </si>
  <si>
    <t>- Meat and edible meat offal (HS Codes: 02.01  02.02  02.03  02.04  02.05  02.06  02.07  02.08 and 02.09) - Fish and crustaceans  molluscs and other aquatic invertebrates (HS Codes: 03.02  03.03  03.04  03.06 and 03.07) - Products of animal origin (HS Cod</t>
  </si>
  <si>
    <t xml:space="preserve"> HS codes: 0206  0203  0202  1506  0504  0302  0207  1501  0204  0306  0201  0209  0307  0304  0208  0303  0205  1502 </t>
  </si>
  <si>
    <t>G/SPS/N/JPN/461</t>
  </si>
  <si>
    <t>Proposed maximum residue limits (MRLs) for the following agricultural chemical: Veterinary drug: Flubendazole.</t>
  </si>
  <si>
    <t>- Meat and edible meat offal (HS Codes: 02.01  02.02  02.03  02.04  02.05  02.06  02.07  02.08 and 02.09) - Fish and crustaceans  molluscs and other aquatic invertebrates (HS Codes: 03.02  03.03 and 03.04) - Dairy produce  birds' eggs and natural honey (H</t>
  </si>
  <si>
    <t xml:space="preserve"> HS codes: 0205  0401  0208  0304  0206  0408  1502  0303  0209  0207  0204  0407  0302  1501  0201  0504  1506  0203  0202 </t>
  </si>
  <si>
    <t>G/SPS/N/JPN/457</t>
  </si>
  <si>
    <t>Proposed maximum residue limits (MRLs) for the following agricultural chemical: Pesticide: Fenhexamid.</t>
  </si>
  <si>
    <t>- Meat and edible meat offal (HS Codes: 02.01  02.02  02.03  02.04  02.05  02.06 and 02.08) - Dairy produce  birds' eggs and natural honey (HS Code: 04.01) - Products of animal origin (HS Code: 05.04) - Edible vegetables and certain roots and tubers (HS C</t>
  </si>
  <si>
    <t xml:space="preserve"> HS codes: 1502  0906  0401  0203  0805  0704  0907  0806  0808  0201  0908  0206  0814  1210  1501  0903  0710  0905  0204  0205  0904  0705  0801  0707  0202  0810  0811  1506  0702  0713  0802  0809  0910  0709  0703  0208  0504  0909 </t>
  </si>
  <si>
    <t>G/SPS/N/JPN/460</t>
  </si>
  <si>
    <t>Proposed maximum residue limits (MRLs) for the following agricultural chemical: Pesticide/Veterinary drug: Fenobucarb.</t>
  </si>
  <si>
    <t xml:space="preserve"> HS codes: 0809  0707  0904  0703  0204  0802  0304  0209  0201  0208  1207  0909  1008  0803  1002  0709  1007  0811  1003  0504  0302  0407  1005  0808  1204  0702  0905  1801  1501  0804  0903  1205  0401  0801  0205  0708  0810  1506  0710  0814  0705  1001  0207  1206  0908  1212  0807  0408  0303  0902  0910  1004  1502  0806  0805  0704  0202  0906  0203  0206  0907  1006  0706 </t>
  </si>
  <si>
    <t>G/SPS/N/USA/2856</t>
  </si>
  <si>
    <t>Eligibility of the Republic of Poland To Export Poultry Products to the United States</t>
  </si>
  <si>
    <t>The Food Safety and Inspection Service (FSIS) is proposing to add the Republic of Poland (Poland) to the list of countries in the regulations eligible to export poultry products to the United States. FSIS has reviewed Poland's poultry laws  regulations  and inspection system as implemented and has tentatively determined that they are equivalent to the Poultry Products Inspection Act (PPIA)  the regulations implementing this statute  and the US food safety system for poultry.   Should this rule become final  slaughtered poultry  or parts or other products thereof  processed in certified Polish establishments  would be eligible for export to the United States. Although Poland may be listed in FSIS's regulations as eligible to export poultry products to the United States  the products must also comply with all other applicable requirements of the United States  including those of USDA's Animal and Plant Health Inspection Service (APHIS)  before any products can enter the United States. All such products would be subject to re-inspection at US ports-of-entry by FSIS inspectors.</t>
  </si>
  <si>
    <t>Poultry products</t>
  </si>
  <si>
    <t>G/SPS/N/AUS/386</t>
  </si>
  <si>
    <t>Raw milk cheese: eligibility of countries to export to Australia</t>
  </si>
  <si>
    <t>Australia is conducting science-based reviews on the risks associated with certain imported foods. As each review is completed  they are published on the Food Standards Australia New Zealand website. In response to the risk assessments on cheese  Australia recently amended its food safety legislation  the Imported Food Control Order 2001 related to the classification of cheese as a risk food. These changes are summarised as follows: 1. Cheese previously described as "soft  semi-soft and fresh cheese"  will be described as "Cheese in which growth of Listeria monocytogenes can occur". Cheese with characteristics known to support the growth of this pathogen is classified as risk food and will be analysed for Listeria monocytogenes. Analysis for E. coli and Salmonella will no longer be conducted. More information is published on the following webpage Cheese in which growth of Listeria monocytogenes can occur. 2. Raw milk cheese is classified as a risk food and imports will be permitted under certain conditions. Countries wanting to export raw milk cheese to Australia can apply for assessment of whether their country's raw milk cheese production system is equivalent to the system in Australia. A government certification arrangement will be established to facilitate trade if the country meets Australia's biosecurity requirements  and demonstrates equivalence and compliance with applicable standards. Raw milk cheese must comply with the Australia New Zealand Food Standards Code Standard 4.2.4 Primary production and processing standard for dairy products. When this standard was developed  Food Standards Australia New Zealand notified in July 2014 in G/SPS/N/AUS/343 and August 2014 in G/SPS/N/AUS/343/Add.1. These notified of updates to the Australia New Zealand Food Standards Code Standard 4.2.4 Primary production and processing standard for dairy products to include the safe production of raw milk cheese. Australia accepted comments on the scientific justification of these amendments at that time  so Australia is not inviting comment a second time.  Information on the eligibility of trading partners to export raw milk cheese to Australia is available at the following webpage Raw milk cheese: eligibility of countries to export to Australia.</t>
  </si>
  <si>
    <t>Cheese (HS Code: 04.06)</t>
  </si>
  <si>
    <t>G/SPS/N/THA/232/Add.1</t>
  </si>
  <si>
    <t>Beef and beef products (HS codes: 0201  0202  04  0506  1502 etc.)</t>
  </si>
  <si>
    <t xml:space="preserve"> HS codes: 0202  0201  1502  0506  04 </t>
  </si>
  <si>
    <t>G/SPS/N/EU/135/Add.1</t>
  </si>
  <si>
    <t>HS Code: 2309  Preparations for use in animal nutrition</t>
  </si>
  <si>
    <t>G/SPS/N/IND/143</t>
  </si>
  <si>
    <t>The Import of poultry and poultry products into India in view of outbreak of Avian Influenza</t>
  </si>
  <si>
    <t>The import of poultry and poultry products into India in view of outbreak of Avian Influenza.</t>
  </si>
  <si>
    <t>G/SPS/N/USA/2415/Add.1</t>
  </si>
  <si>
    <t>Folic acid added to corn masa flour</t>
  </si>
  <si>
    <t xml:space="preserve"> HS codes: 110220  2936 </t>
  </si>
  <si>
    <t>G/SPS/N/USA/2847</t>
  </si>
  <si>
    <t>Eligibility of Honduras To Export Poultry Products to the United States</t>
  </si>
  <si>
    <t>The Food Safety and Inspection Service (FSIS) is proposing to add Honduras to the list of countries eligible to export poultry products to the United States. The FSIS review of Honduras' laws  regulations  and inspection system demonstrated that its poultry slaughter inspection system is equivalent to the system FSIS has established under the Poultry Products Inspection Act (PPIA) and its implementing regulations. At this time  because Honduras advised FSIS that it intends to export raw poultry products  such as whole carcasses  to the United States  FSIS has only assessed Honduras' poultry slaughter establishments. Thus  should this proposed rule become final  Honduras would only be eligible to export raw poultry products to the United States. Should Honduras express interest in exporting processed poultry product  such as cooked or canned product  to the United States  they would need to request an equivalence determination. Honduras would be required to submit additional records for FSIS to review and conduct an audit as appropriate. Under this proposal  slaughtered poultry or parts thereof produced in certified Honduran establishments would be eligible for export to the United States. All such products would be subject to re-inspection at United States ports of entry by FSIS inspectors.</t>
  </si>
  <si>
    <t>Raw poultry products</t>
  </si>
  <si>
    <t>G/SPS/N/PER/643</t>
  </si>
  <si>
    <t xml:space="preserve"> HS codes: 0206  0201  0202 </t>
  </si>
  <si>
    <t>G/SPS/N/TPKM/393</t>
  </si>
  <si>
    <t>Shellfish imported for human consumption shall be accompanied with a Health Certificate that includes the information of the harvest area and issued by the competent authority of exporting country</t>
  </si>
  <si>
    <t>A draft control measure was announced indicating that shellfish (including live  fresh  chilled and frozen) listed in 0307 of the Harmonised System Codes (HS Codes) imported for human consumption shall be accompanied with a Health Certificate that includes the information of the harvest area and issued by the competent authority of exporting country.</t>
  </si>
  <si>
    <t>Shellfish</t>
  </si>
  <si>
    <t>G/SPS/N/USA/401/Add.3</t>
  </si>
  <si>
    <t>Meat and poultry</t>
  </si>
  <si>
    <t xml:space="preserve"> HS codes: 0207  1602  0203  0201 </t>
  </si>
  <si>
    <t>G/SPS/N/IND/142</t>
  </si>
  <si>
    <t>The Draft Food Safety and Standards (Food Products Standards and Food Additives) Amendment Regulations  2016 details the standards for table olive and seedless tamarind.</t>
  </si>
  <si>
    <t>Table olive and seedless tamarind</t>
  </si>
  <si>
    <t xml:space="preserve"> HS codes: 071120  081090 </t>
  </si>
  <si>
    <t>G/SPS/N/KOR/531</t>
  </si>
  <si>
    <t>The proposed amendments seek to revise the processing standards for Natural cheese to allow natural cheese made from unpasteurized milk if the cheese undergoes maturing process for more than sixty days at 2 celsius and more.</t>
  </si>
  <si>
    <t>G/SPS/N/EU/162</t>
  </si>
  <si>
    <t>Commission Implementing Regulation (EU) 2016/443 of 23 March 2016 amending Annex I to Regulation (EC) No 669/2009 as regards the list of feed and food of non-animal origin subject to an increased level of official controls on imports (Text with EEA relevance)</t>
  </si>
  <si>
    <t>The Regulation reviews the list of imports of feed and food of non-animal origin which are subject to an increased level of official controls. The changes concern: the de-listing of aubergines and bitter melon from the Dominican Republic  the listing of palm oil from Ghana  groundnuts and derived products from Madagascar and lemons from Turkey.</t>
  </si>
  <si>
    <t>HS Code(s): 070490  070810  070820  070960  070930  070940  070990  071022  071080  080550  080211  080212  080250  080620  081010  081090  081120  081310  0902  110630  1202  120740  121190  151110  151190  200811  200850  200899  3507</t>
  </si>
  <si>
    <t xml:space="preserve"> HS codes: 070820  070940  080212  081120  070490  3507  081310  200811  071022  121190  0902  71022  120740  110630  070990  151110  080620  080550  081090  1202  081010  080211  070810  200850  080250  070960  200899  151190  071080  070930 </t>
  </si>
  <si>
    <t>Aflatoxins  Animal feed  Bacteria  Contaminants  Food safety  Human health  Mycotoxins  Salmonella  Toxins</t>
  </si>
  <si>
    <t>G/SPS/N/ZAF/45</t>
  </si>
  <si>
    <t>Draft Regulations Relating to the Fortification of Certain Foodstuffs (R. 217)</t>
  </si>
  <si>
    <t>The draft regulations require the mandatory fortification of maize meal and wheat flour with vitamins and minerals (excluding those maize and wheat products as specified in the definitions for maize meal and wheat flour).</t>
  </si>
  <si>
    <t>Maize meal and wheat flour</t>
  </si>
  <si>
    <t xml:space="preserve"> HS codes: 1101  110313 </t>
  </si>
  <si>
    <t>G/SPS/N/IND/141</t>
  </si>
  <si>
    <t>The Draft Food Safety and Standards (Food Products Standards and Food Additives) Amendment Regulations  2016 relates to the rice bran oil and cotton seed oil.</t>
  </si>
  <si>
    <t>Rice bran oil and cotton seed oil</t>
  </si>
  <si>
    <t xml:space="preserve"> HS codes: 1512  1515 </t>
  </si>
  <si>
    <t>G/SPS/N/JPN/455</t>
  </si>
  <si>
    <t>Proposed maximum residue limits (MRLs) for the following agricultural chemical: Pesticide: Tepraloxydim.</t>
  </si>
  <si>
    <t xml:space="preserve"> HS codes: 0706  0205  0704  1202  0903  0203  1003  1007  0202  0701  1206  1006  0906  0811  0908  1008  0909  1004  1506  0902  1204  1210  0713  0208  0904  1207  0807  0702  0804  0806  0809  1501  1002  1502  0407  0705  0808  0814  0803  0408  0401  1201  0810  0907  0802  1205  0805  0910  0708  0707  0207  0703  1212  1001  0710  0201  0901  0206  0709  0714  0905  0801  1801  1005  0209  0204 </t>
  </si>
  <si>
    <t>G/SPS/N/JPN/454</t>
  </si>
  <si>
    <t>Proposed maximum residue limits (MRLs) for the following agricultural chemical: Pesticide: Diethofencarb.</t>
  </si>
  <si>
    <t xml:space="preserve">- Edible vegetables and certain roots and tubers (HS Codes: 07.02  07.03  07.04  07.05  07.06  07.07  07.08  07.09  07.10 and 07.13) - Edible fruits and nuts  peel of citrus/melons (HS Codes: 08.01  08.02  08.03  08.04  08.05  08.06  08.07  08.08  08.09  </t>
  </si>
  <si>
    <t xml:space="preserve"> HS codes: 0910  0707  0905  0814  0801  0706  0703  0709  1001  0802  0805  0713  1205  0907  0810  1201  0808  0704  0809  0806  0710  0804  0702  0708  1207  0904  0807  0902  0909  0908  0906  1206  0811  0705  0903  1202  1204  0803 </t>
  </si>
  <si>
    <t>G/SPS/N/JPN/452</t>
  </si>
  <si>
    <t>Proposed maximum residue limits (MRLs) for the following agricultural chemical: Pesticide: Acetochlor.</t>
  </si>
  <si>
    <t>- Edible vegetables and certain roots and tubers (HS Codes: 07.03  07.08  07.09 and 07.10) - Cereals (HS Codes: 10.01  10.04  10.05  10.07 and 10.08) - Oleaginous fruits  miscellaneous grains  seeds and fruits (HS Code: 12.01)</t>
  </si>
  <si>
    <t xml:space="preserve"> HS codes: 1001  0710  0709  1005  0703  0708  1201  1008  1004  1007 </t>
  </si>
  <si>
    <t>G/SPS/N/JPN/453</t>
  </si>
  <si>
    <t>Proposed maximum residue limits (MRLs) for the following agricultural chemical: Pesticide: Bendiocarb.</t>
  </si>
  <si>
    <t>- Meat and edible meat offal (HS Codes: 02.01  02.02  02.06  02.07 and 02.09) - Dairy produce  birds' eggs and natural honey (HS Codes: 04.01  04.07 and 04.08) - Products of animal origin (HS Code: 05.04) - Edible vegetables and certain roots and tubers (</t>
  </si>
  <si>
    <t xml:space="preserve"> HS codes: 1007  1502  0814  0207  0701  0201  0202  0803  0903  0905  1006  0906  0908  0909  1008  1004  0904  0504  0408  0710  1002  0206  0907  1212  1501  0709  1001  0407  0401  0209  0910  1003  1005 </t>
  </si>
  <si>
    <t>G/SPS/N/USA/2839</t>
  </si>
  <si>
    <t>Proposed Rule: National Poultry Improvement Plan and Auxiliary Provisions (Docket # APHIS_FRDOC_0001)</t>
  </si>
  <si>
    <t>The Animal and Plant Health Inspection Service is proposing to amend the National Poultry Improvement Plan (NPIP  the Plan)  its auxiliary provisions  and the indemnity regulations for the control of H5 and H7 low pathogenic avian influenza to clarify participation in the NPIP and amend participation requirements  amend definitions for poultry and breeding stock  amend the approval process for new diagnostic tests  and amend laboratory inspection and testing requirements. These changes would align the regulations with international standards and make them more transparent to Animal and Plant Health Inspection Service stakeholders and the general public. The proposed changes were voted on and approved by the voting delegates at the Plan's 2014 National Plan Conference. Federal Register / Vol. 81  No. 57 / Thursday  24 March 2016 / pgs. 15652-15660.</t>
  </si>
  <si>
    <t>G/SPS/N/IND/133</t>
  </si>
  <si>
    <t>The Draft Food Safety and Standards (Food Products Standards and Food Additives) Amendment Regulations  2016 details the standards for oats and pasta products.</t>
  </si>
  <si>
    <t>Standards for oats and pasta products</t>
  </si>
  <si>
    <t xml:space="preserve"> HS codes: 1902  1004 </t>
  </si>
  <si>
    <t>G/SPS/N/IND/132</t>
  </si>
  <si>
    <t>The Draft Food Safety and Standards (Food Products Standards and Food Additives) Amendment Regulations  2016 relating to the standards for fortified milk and edible lactose.</t>
  </si>
  <si>
    <t>Standards for fortified milk and edible lactose</t>
  </si>
  <si>
    <t>G/SPS/N/COL/252/Add.1</t>
  </si>
  <si>
    <t xml:space="preserve"> HS codes: 0208 </t>
  </si>
  <si>
    <t>Animal diseases  Animal health  Avian Influenza  Pest or Disease free Regions  Zoonoses</t>
  </si>
  <si>
    <t>G/SPS/N/USA/2728/Add.2</t>
  </si>
  <si>
    <t xml:space="preserve"> HS codes: 0203  0207 </t>
  </si>
  <si>
    <t>G/SPS/N/USA/2782/Add.1</t>
  </si>
  <si>
    <t>Swine and swine products</t>
  </si>
  <si>
    <t xml:space="preserve"> HS codes: 0203  0103 </t>
  </si>
  <si>
    <t>Animal diseases  Animal health  Classical Swine Fever  Pest or Disease free Regions</t>
  </si>
  <si>
    <t>G/SPS/N/PER/638</t>
  </si>
  <si>
    <t xml:space="preserve"> HS codes: 090111  09 </t>
  </si>
  <si>
    <t>Pests  Plant health  Seeds</t>
  </si>
  <si>
    <t>G/SPS/N/GTM/62</t>
  </si>
  <si>
    <t xml:space="preserve"> HS codes: 0103  0203 </t>
  </si>
  <si>
    <t>G/SPS/N/ZAF/43</t>
  </si>
  <si>
    <t>Veterinary health certificate for the export of hog casings to South Africa (Draft 2016-02)</t>
  </si>
  <si>
    <t>The proposed revised import conditions incorporate information provided in the OIE Terrestrial Animal Health Code and the "Supplementary import risk analysis: Sausage casings of bovine and porcine origin"  March 2015  done by the New Zealand Ministry for Primary Industries and will provide an adequate level of protection for: - Aujeszky's Disease  - Foot and Mouth Disease  - Classical Swine Fever  - African Swine Fever  - Porcine Reproductive and Respiratory Syndrome  and - Swine Vesicular Disease.</t>
  </si>
  <si>
    <t xml:space="preserve"> HS codes: 0210 </t>
  </si>
  <si>
    <t>Animal diseases  Animal health  Classical Swine Fever  Foot and mouth disease</t>
  </si>
  <si>
    <t>G/SPS/N/NZL/531</t>
  </si>
  <si>
    <t>Import health standard for egg products</t>
  </si>
  <si>
    <t>The proposed import health standard Egg Products contains import measures for egg products and products containing egg ingredients to New Zealand.</t>
  </si>
  <si>
    <t xml:space="preserve"> HS codes: 0407  0408 </t>
  </si>
  <si>
    <t>Animal health  Contaminants  Food safety  Human health</t>
  </si>
  <si>
    <t>G/SPS/N/JPN/450</t>
  </si>
  <si>
    <t>Proposed designation of a substance used as an ingredient of agricultural chemicals and other chemical substances that is stipulated to be "Not detected" in foods for the following agricultural chemical: Veterinary drug : Ipronidazole.</t>
  </si>
  <si>
    <t xml:space="preserve"> HS codes: 0714  0804  0806  0303  1006  0401  0807  1001  0205  0704  0702  1201  0701  1002  0209  0713  0805  1501  0705  0706  1008  0202  0302  1202  0208  1005  0802  1205  0703  0206  0204  0504  0203  1502  0207  1004  0814  0304  0201  0407  1506  0710  1007  1003  0709  0809  0810  0408  0808  1212  0707  0708 </t>
  </si>
  <si>
    <t>G/SPS/N/JPN/446</t>
  </si>
  <si>
    <t>Proposed maximum residue limits (MRLs) for the following agricultural chemical: Pesticide: Dinoseb.</t>
  </si>
  <si>
    <t xml:space="preserve"> HS codes: 0205  0706  0208  1202  0207  1201  0802  0206  0401  0704  0714  0803  0904  0906  0806  0805  1210  0703  0705  0811  1004  0203  1207  1006  0407  0408  0814  0905  1212  0702  0204  0504  0804  1002  0209  0713  0701  0801  0908  0907  1001  0202  1204  0902  1008  0909  1501  1502  1205  1005  0807  0808  1007  0710  0709  0201  0910  0903  1003  0810  0809  0707  0708  1506  1206 </t>
  </si>
  <si>
    <t>G/SPS/N/JPN/443</t>
  </si>
  <si>
    <t>Proposed maximum residue limits (MRLs) for the following agricultural chemical: Veterinary drug : Tulathromycin.</t>
  </si>
  <si>
    <t>- Meat and edible meat offal (HS Codes: 02.01  02.02  02.03 and 02.06) - Products of animal origin (HS Code: 05.04)</t>
  </si>
  <si>
    <t xml:space="preserve"> HS codes: 0202  0203  0201  0504  0206 </t>
  </si>
  <si>
    <t>G/SPS/N/JPN/447</t>
  </si>
  <si>
    <t>Proposed maximum residue limits (MRLs) for the following agricultural chemical: Pesticide: Thifensulfuron.</t>
  </si>
  <si>
    <t xml:space="preserve"> HS codes: 1506  1003  1005  0408  0709  0904  0906  1007  1212  0910  0207  0909  1008  0907  0908  0209  0713  1001  0201  0814  1207  0203  0202  1502  0710  1204  0905  1205  0206  0504  1004  0407  0401  0205  1201  1002  0208  1202  1501  0204 </t>
  </si>
  <si>
    <t>G/SPS/N/JPN/448</t>
  </si>
  <si>
    <t>Proposed maximum residue limits (MRLs) for the following agricultural chemical: Pesticide: Thiometon.</t>
  </si>
  <si>
    <t xml:space="preserve"> HS codes: 0203  0701  0802  0205  0401  0906  0207  0209  1202  1201  0801  0706  0704  0208  0714  0904  0803  1004  0408  1207  0705  0703  0206  1210  0201  0806  0807  0804  0811  0905  1006  1502  1002  0204  0504  0710  1212  0814  1204  0713  0909  0908  1001  1008  0202  0702  0407  0805  0910  1205  1005  0809  1003  1501  0903  0709  0707  0708  0808  1007  1506  1206  0810  0907 </t>
  </si>
  <si>
    <t>G/SPS/N/JPN/442</t>
  </si>
  <si>
    <t>Proposed maximum residue limits (MRLs) for the following agricultural chemical: Pesticide: Phenmedipham.</t>
  </si>
  <si>
    <t xml:space="preserve"> HS codes: 0903  0709  1506  1212  0710  1501  0905  0204  0504  0401  0202  0201  0205  0705  0906  0203  1502  0206  0814  0904  0910  0208  0909  0907  0908 </t>
  </si>
  <si>
    <t>G/SPS/N/JPN/445</t>
  </si>
  <si>
    <t>Proposed maximum residue limits (MRLs) for the following agricultural chemical: Pesticide: Chlorobenzilate.</t>
  </si>
  <si>
    <t xml:space="preserve"> HS codes: 1206  1506  0707  0708  0809  0810  0903  0910  0201  0709  0710  0807  0808  1005  1205  1502  1501  0909  0902  0202  0907  0908  1204  0701  0801  0209  0713  0804  0504  0204  0702  1212  0408  0905  0814  0407  1207  0203  0811  0703  0705  1210  0806  0805  0906  0803  0904  0714  0401  0206  0802  0704  1201  0207  1202  0208  0706  0205 </t>
  </si>
  <si>
    <t>G/SPS/N/NIC/70/Add.2</t>
  </si>
  <si>
    <t>G/SPS/N/JPN/441</t>
  </si>
  <si>
    <t>Revision of the Specifications and Standards for Foods and Food Additives under the Food Sanitation Act</t>
  </si>
  <si>
    <t>Revising the standards to allow the use of carbon dioxide as a pH regulator for sodium hypochlorite used as a disinfectant  during processing of fresh fish and shellfish to be eaten raw  oysters to be eaten raw  and frozen foods.</t>
  </si>
  <si>
    <t xml:space="preserve">- Fish (HS Codes: 03.02  03.03) - Fish fillets and other fish meat (HS Code: 03.04) - Crustaceans  fresh  chilled or frozen (HS Code: 03.06) - Molluscs  fresh  chilled or frozen (HS Code: 03.07) - Aquatic invertebrates other than crustaceans and molluscs </t>
  </si>
  <si>
    <t xml:space="preserve"> HS codes: 0307  0303  0304  0306  0302  0208 </t>
  </si>
  <si>
    <t>G/SPS/N/IDN/99/Add.1</t>
  </si>
  <si>
    <t>Live poultry and poultry products</t>
  </si>
  <si>
    <t xml:space="preserve"> HS codes: 0105  0207  0407 </t>
  </si>
  <si>
    <t>Food safety  Animal health  Protect humans from animal/plant pest or disease  Protect territory from other damage from pests</t>
  </si>
  <si>
    <t>G/SPS/N/USA/2824</t>
  </si>
  <si>
    <t>National Residue Program: Monitoring Chemical Hazards</t>
  </si>
  <si>
    <t>The Food Safety and Inspection Service (FSIS) is clarifying its approach within the National Residue Program's (NRP's) Tier 2 exploratory program when it tests tissue samples collected from livestock and poultry carcasses and detects chemicals that do not have established tolerances or other regulatory levels. This approach applies to potentially hazardous chemicals that are not animal drugs or pesticide chemicals with established tolerances. FSIS also intends to apply this approach to egg products should these products become subject to chemical testing and to products from fish of the order Siluriformes when the final rule to make these species amenable to the Federal Meat Inspection Act (FMIA) is fully implemented. FSIS requests comments on the approach discussed in this document  and on how it can further improve its management of environmental contaminants and other chemical hazards in meat and poultry products.</t>
  </si>
  <si>
    <t>Meat  poultry  egg products  and siluriformes fish</t>
  </si>
  <si>
    <t xml:space="preserve"> HS codes: 0207  0407  0304 </t>
  </si>
  <si>
    <t xml:space="preserve"> HS codes: 0407  0207 </t>
  </si>
  <si>
    <t>G/SPS/N/IND/127</t>
  </si>
  <si>
    <t>Veterinary certificate for import of dog and cat foods into India (containing animal origin materials)</t>
  </si>
  <si>
    <t>The veterinary certificate envisages sanitary requirements for import of dog and cat food into India.</t>
  </si>
  <si>
    <t>Animal feed  Animal health</t>
  </si>
  <si>
    <t>G/SPS/N/PHL/96/Add.1</t>
  </si>
  <si>
    <t>Live poultry  poultry meat  day-old chicks  eggs and semen</t>
  </si>
  <si>
    <t xml:space="preserve"> HS codes: 0105  05119  0407  0207 </t>
  </si>
  <si>
    <t>G/SPS/N/PHL/321</t>
  </si>
  <si>
    <t>Draft Standard for Organic Aquaculture Feeds</t>
  </si>
  <si>
    <t>This Standard applies to the formulation and preparation of nutritionally adequate complete organic aquaculture feeds or aquafeeds  farm-made or commercial  for culture of aquatic animals such as crustaceans  fish and mollusks. This also covers organic aquafeeds that are custom-mixed  organic feed ingredients and additives  and other feed products claimed organic.</t>
  </si>
  <si>
    <t>Organic aquaculture feeds</t>
  </si>
  <si>
    <t xml:space="preserve"> HS codes: 2301 </t>
  </si>
  <si>
    <t>Animal feed  Contaminants  Feed additives</t>
  </si>
  <si>
    <t xml:space="preserve"> HS codes: 0105  0407  0207  05119 </t>
  </si>
  <si>
    <t>G/SPS/N/PHL/292/Add.1</t>
  </si>
  <si>
    <t xml:space="preserve"> HS codes: 05119  0407  0207  0105 </t>
  </si>
  <si>
    <t>G/SPS/N/PHL/285/Add.1</t>
  </si>
  <si>
    <t xml:space="preserve"> HS codes: 0207  0105  0407  05119 </t>
  </si>
  <si>
    <t>G/SPS/N/CAN/244/Rev.2/Add.2</t>
  </si>
  <si>
    <t>Bovine origin product</t>
  </si>
  <si>
    <t xml:space="preserve"> HS codes: 0202  0102  0206  3503 </t>
  </si>
  <si>
    <t>G/SPS/N/PHL/301/Add.1</t>
  </si>
  <si>
    <t>G/SPS/N/JPN/439</t>
  </si>
  <si>
    <t>Revision of the Ministerial Ordinance on Milk and Milk Products Concerning Compositional Standards  etc. (Revision of the Standards of Evaporated skimmed milk)</t>
  </si>
  <si>
    <t>Proposed revision of the processing and storing standards for evaporated skimmed milk.</t>
  </si>
  <si>
    <t>Milk products (HS Code: 04.02)</t>
  </si>
  <si>
    <t xml:space="preserve"> HS codes: 0402 </t>
  </si>
  <si>
    <t>Animal diseases  Animal health  Bovine Spongiform Encephalopathy(BSE)  Transmissible Spongiform Encephalopathy (TSE)  Zoonoses</t>
  </si>
  <si>
    <t>G/SPS/N/EU/154</t>
  </si>
  <si>
    <t>Commission Regulation (EU) 2015/2294 of 9 December 2015 amending Regulation (EC) No 1831/2003 of the European Parliament and of the Council as regards the establishment of a new functional group of feed additives</t>
  </si>
  <si>
    <t>The legislative measure amending Regulation (EU) 1831/2003 establishes a new functional group of feed additives in the category of technological additives. As a result of technological and scientific development some feed additives have been produced in order to improve the hygienic condition of a feed and operators may need to use them in order to reduce a specific microbiological contamination leading to a possible adverse effect of microorganisms on animal health or in specific cases to use hygienic condition enhancers in order to improve the quality of feed for animal nutrition providing additional guarantees for protection of animal and public health.</t>
  </si>
  <si>
    <t>HS Code: 2309  Preparation of a kind use in animal nutrition</t>
  </si>
  <si>
    <t>Animal feed  Bacteria  Feed additives  Food safety  Human health</t>
  </si>
  <si>
    <t>G/SPS/N/EU/153</t>
  </si>
  <si>
    <t>Commission Implementing Regulation (EU) 2015/2383 of 17 December 2015 amending Annex I to Regulation (EC) No 669/2009 as regards the list of feed and food of non-animal origin subject to an increased level of official controls on imports (Text with EEA relevance)</t>
  </si>
  <si>
    <t>The Regulation reviews the list of imports of feed and food of non-animal origin which are subject to an increased level of official controls. The changes concern  amongst others: the de-listing of table grapes from Peru.</t>
  </si>
  <si>
    <t>HS Code(s): 070490  070810  070820  070960  070930  070940  070990  071022  071080  080211  080212  080250  080620  081010  081090  081120  081310  0902  090420  090810  110630  1202  120740  121190  140490  200811  200850  3507</t>
  </si>
  <si>
    <t xml:space="preserve"> HS codes: 080620  070960  070990  071080  070930  080250  070490  081120  070940  080212  070820  1202  0902  070810  121190  071022  200811  081310  081090  090810  110630  120740  71022  140490  080211  3507  200850  090420  081010 </t>
  </si>
  <si>
    <t>Aflatoxins  Animal feed  Bacteria  Contaminants  Food safety  Human health  Mycotoxins  Ochratoxin  Salmonella  Toxins</t>
  </si>
  <si>
    <t>G/SPS/N/SAU/195</t>
  </si>
  <si>
    <t>The Kingdom of Saudi Arabia "Feed Act"</t>
  </si>
  <si>
    <t>This Act applies to the feed chain to ensure the feed safety and safeguard of human and public health from harmful substances resulting from feeding animals unsafe feed.</t>
  </si>
  <si>
    <t>Animal feeding stuffs (ICS Code: 65.120)</t>
  </si>
  <si>
    <t>G/SPS/N/TPKM/381</t>
  </si>
  <si>
    <t>Shellfish imported from Korea shall be accompanied by a Health Certificate issued by the Korean Government</t>
  </si>
  <si>
    <t>A draft control measure was announced indicating that shellfish (including live  fresh  chilled and frozen) imported from Korea shall be accompanied by a Health Certificate issued by the Korean Government.</t>
  </si>
  <si>
    <t>G/SPS/N/USA/2809</t>
  </si>
  <si>
    <t>FSIS Compliance Guideline for Controlling Salmonella and Campylobacter in Raw Poultry</t>
  </si>
  <si>
    <t>The Food Safety and Inspection Service (FSIS) is announcing the availability of and requesting comment on the revised Guideline to assist poultry establishments in controlling Salmonella and Campylobacter in raw poultry. The Agency has revised its Guideline to provide updated information for establishments to use to control pathogens in raw poultry products with the goal of reducing human illnesses associated with consuming poultry contaminated with Salmonella and Campylobacter. The Guideline represents the best practice recommendations of FSIS based on scientific and practical considerations. This document does not represent regulatory requirements. By following this Guideline  poultry establishments should be able to produce raw poultry products that have less contamination with pathogens  including Salmonella and Campylobacter  than would otherwise be the case.  The 2 page Federal Register Notice is available here: https://www.federalregister.gov/articles/2015/12/16/2015-31628/availability-of-fsis-compliance-guideline-for-controlling-salmonella-and-campylobacter-in-raw  The 109 page Compliance Guideline is available here: http://www.fsis.usda.gov/wps/wcm/connect/6732c082-af40-415e-9b57-90533ea4c252/Controlling-Salmonella-Campylobacter-Poultry-2015.pdf?MOD=AJPERES</t>
  </si>
  <si>
    <t>Raw poultry</t>
  </si>
  <si>
    <t>G/SPS/N/IDN/106</t>
  </si>
  <si>
    <t>Draft Regulation of the Minister of Agriculture concerning Animal Quarantine Actions for the Importation of Carcass  Meat  and/or Offal Into the Territory of the Republic of Indonesia</t>
  </si>
  <si>
    <t>This draft regulation is implementation of Article 41B paragraph (2) of Law No. 41/2014 concerning Amendment of Law No. 18/2009 on Livestock and Animal Health  and Article 7 paragraph (3) of Government Regulation No. 82/2000 concerning Animal Quarantine. The scope of this regulation includes: 1. Quarantine requirements for importation of carcass  meat and/or offal into the territory of Indonesia  2. Quarantine actions  3. Other provisions. I. Quarantine Requirements The Importation of carcasses  meat and/or offal into the territory of Indonesia shall meet the quarantine requirements as follows: a. Accompanied  by a sanitary certificate issued by an competent authority in the country of origin or transit country  b. Shall be imported through the designated point of entry  c. Shall meet the technical requirements of the animal health  and d. Shall be notified and presented to the quarantine officer at the point of entry for quarantine actions. Sanitary Certificate Sanitary certificate shall contain at least the following information: 1. Product identity a. Kind and quantity  b. Country of origin  c. Registration number of production place from origin country  d. Recommendation number and import permit  e. Date of production  and f. Halal label. 2. Name and address of sender and receiver 3. Transportation/shipment information a. Type and identity of the means of conveyance  b. Country/Region of origin  c. Country/Region of destination  d. Estimated time of arrival/departure  e. Entry/Exit point  and f. Transit Point. 4. Declaration a. Carcass  meat and/or offal are free from animal quarantine pests and diseases (HPHK)  b. Safe and suitable for human consumption  c. Laboratory result of biological and chemical hazard from appointed laboratory. 5. Technical requirement of the animal health a. Kind of carcass  meat and/or offal with HS code must be compatible to import permit  b. From country and establishment unit approved by Minister  c. Meet the shipment  transit and/or transshipment requirement  d. Meet the packing  labeling and temperature requirement. II. Quarantine Action 1. General a. Carcass  meat and/or offal imported into Indonesia shall be subject to quarantine action  b. Quarantine action carried out in form of examination  isolation  observation  treatment  detention  rejection  destruction and release  c. Quarantine action for carcass  meat and/or offal which hazardous to people shall be coordinated with institution in charge of veterinary and zoological public health service  d. Quarantine action shall be performed at entry point but if not possible  quarantine action can be performed at quarantine installation  e. Examination shall be performed in order to recognize completeness and validity of the sanitary certificate  halal certificate  temperature recording  and physical examination  f. If imported carcass  meat and/or offal has not accompanied by sanitation certificate  the carrier shall be rejected. 2. Importation of carcass  meat and/or offal from country or zone within a country a. In the case of importation of carcasses and meat from a country or zone within a country  must be carried out quarantine measures in the country of origin prior to importation into Indonesia  b. Quarantine measures in the country of origin carried out in the form of an examination of compliance of health requirements set by Indonesia. 3. Quarantine action of carcass  meat and/or offal for feed a. Carcass  meat and/or offal for feed shall be subject to quarantine action  b. Carcass  meat and/or offal for feed shall be: coloured with colour that safe for animal  marked unfit for human consumption on the packaging  transported in separated containers with the carcass  meat and/or offal for human consumption. 4. Other Provision This Law shall come into effect on the date of enactment.</t>
  </si>
  <si>
    <t>Carcasses  meat and/or offal</t>
  </si>
  <si>
    <t xml:space="preserve"> HS codes: 0206  02 </t>
  </si>
  <si>
    <t>Animal diseases  Animal health  Food safety  Human health  Pests  Territory protection  Zoonoses</t>
  </si>
  <si>
    <t>G/SPS/N/USA/2808</t>
  </si>
  <si>
    <t>Proposed Rule: Brucellosis and Bovine Tuberculosis  Update of General Provisions (Docket # APHIS-2011-0044)</t>
  </si>
  <si>
    <t>The Animal and Plant Health Inspection Service (APHIS) is proposing to consolidate the regulations governing bovine tuberculosis  and those governing brucellosis. As part of this consolidation  we are proposing to transition the tuberculosis and brucellosis programs away from a State classification system based in disease prevalence. Instead  States and Tribes would implement animal health plans that identify sources of the diseases within the State or Tribal lands and specify mitigations to address the risk posed by those sources. The consolidated regulations would also set forth standards for surveillance  epidemiological investigations  and affected herd management that must be incorporated into each animal health plan  with certain limited exceptions  would provide revised conditions for the interstate movement of cattle  bison  and captive cervids  and would provide revised conditions for APHIS approval of tests  testing laboratories  and testers for bovine tuberculosis or brucellosis. Finally  we are proposing to revise the bovine tuberculosis- and brucellosis-related import requirements for cattle and bison to make these requirements clearer and assure that they more effectively mitigate the risk of introduction of these diseases into the United States. APHIS is making this proposed rule available to the public for review and comment.  Federal Register/Vol. 80  No. 241/Wednesday  16 December 2015/pgs. 78462-78520</t>
  </si>
  <si>
    <t>Ruminant and ruminant products</t>
  </si>
  <si>
    <t xml:space="preserve"> HS codes: 0102  0204  0104  0201 </t>
  </si>
  <si>
    <t>G/SPS/N/USA/2807</t>
  </si>
  <si>
    <t>Concurrence With OIE Risk Designations for Bovine Spongiform Encephalopathy (Docket # APHIS-2015-0055)</t>
  </si>
  <si>
    <t>The Animal and Plant Health Inspection Service (APHIS) is advising the public of its preliminary concurrence with the World Organization for Animal Health's (OIE) bovine spongiform encephalopathy (BSE) risk designations for 16 regions. The OIE recognizes these regions as being of negligible risk for BSE. APHIS is taking this action based on its review of information supporting the OIE's risk designations for these regions. The list of those regions classified by APHIS as having either negligible risk or controlled risk can be accessed on the APHIS Web site at http://www.aphis.usda.gov/import_export/animals/animal_disease_status.shtml. The list can also be obtained by writing to APHIS at National Import Export Services  4700 River Road Unit 38  Riverdale  MD 20737. In accordance with this process  APHIS is giving notice in this document that it intends to concur with the OIE risk classifications of the following countries:  Bulgaria  Cyprus  Czech Republic  Estonia  France  Hungary  India  Republic of Korea  Latvia  Liechtenstein  Luxembourg  Malta  Portugal  Romania  Slovakia  and Switzerland.</t>
  </si>
  <si>
    <t xml:space="preserve"> HS codes: 0201  0202 </t>
  </si>
  <si>
    <t>Animal diseases  Animal health  Bovine Spongiform Encephalopathy(BSE)  Pest or Disease free Regions  Zoonoses</t>
  </si>
  <si>
    <t>G/SPS/N/JPN/436</t>
  </si>
  <si>
    <t>Proposed maximum residue limits (MRLs) for the following agricultural chemical: Pesticide: Isoxaflutole.</t>
  </si>
  <si>
    <t xml:space="preserve"> HS codes: 0207  1501  0202  0209  0206  0401  0203  0205  0204  0504  0208  1201  1506  0408  1502  0407  0713  1005  1212  0201  0709  0710 </t>
  </si>
  <si>
    <t>G/SPS/N/JPN/435</t>
  </si>
  <si>
    <t>Proposed maximum residue limits (MRLs) for the following agricultural chemical: Pesticide: Etofenprox.</t>
  </si>
  <si>
    <t xml:space="preserve"> HS codes: 1006  0710  0709  0809  0810  0908  0807  0814  1205  0805  0808  0906  0907  0201  1212  1005  0713  0702  0804  1502  0407  0707  0910  1007  0902  0303  0806  0904  0408  0909  1008  0905  1506  1003  0903  1001  1201  0208  0504  0704  0714  0703  1501  1002  1202  1004  0708  0802  0302  0204  0205  0304  0203  0401  0206  0209  0701  0202  0207  0705  0706 </t>
  </si>
  <si>
    <t>G/SPS/N/JPN/434</t>
  </si>
  <si>
    <t>Proposed maximum residue limits (MRLs) for the following agricultural chemical: Pesticide: Benzofenap.</t>
  </si>
  <si>
    <t>Cereals (HS Code: 10.06)</t>
  </si>
  <si>
    <t>G/SPS/N/CRI/167</t>
  </si>
  <si>
    <t>G/SPS/N/CRI/166</t>
  </si>
  <si>
    <t>G/SPS/N/EGY/65/Rev.1</t>
  </si>
  <si>
    <t>Ministerial Decree No. 693 for the year 2015 mandating the application of Egyptian Standard ES 7985/2013 "Edible Vegetable oils"</t>
  </si>
  <si>
    <t>The Ministerial Decree mandates that the producers and importers must comply with the Egyptian Standard ES 7985/2013 "Edible Vegetable oils". Producers and importers are given a transitional period of six months to abide by the standard. This standard supersedes ES No: 1- E.S no. 49-1/2005 "Vegetable Edible Oils Part 1 : Sesame Seed Oil" 2- E.S no. 49-3/2005 "Vegetable Edible Oils - PART 3 : Maize Oil" 3- E.S no. 49-5/2005 "Vegetable Edible Oils - PART 5 : Arachis Oil" 4- E.S no. 49-6/2005 "Vegetable Edible Oils - PART 6 : Soya Bean Oil" 5- E.S no. 49-7/2005 "Vegetable Edible Oils - PART 7 : Sunflower seed Oil" 6- E.S no. 49-8/2005 "Vegetable Edible Oils Part 8 : Cottonseed Oil" 7- E.S no. 5108/2006 "Safflowerseed Oil-High Oleic Acid" 8- E.S no. 1685/2005 "Refined Edible Low Erucic Acid Rapeseed Oil" 9- E.S no. 2099/2005 "Safflower seed Oil" 10- E.S no. 2100/2005 "Mustard seed Oil" 11- E.S no. 2249/2005 "Edible Palm Stearin" 12- E.S no. 1706/2005 "Edible Palm Olein" 13- E.S no. 1520/2005 "Edible Palm Oil" 14- E.S no. 1615/2015 "Edible Coconut Oil" 15- E.S no. 1632/2015 "Edible Palm Kernel Oil" 16- E.S no. 1672/2007 "Cottonseed Oil Second Grade" 17- E.S no. 2098/2006 "Edible Grape Seed Oil" 18- E.S no. 2101/2006 "Edible Babassu Oil" 19- E.S no. 5107/2006 "Sunflower Seed Oil-High Oleic" 20- E.S no. 5109/2006 "Edible Palm Superolein" 21- E.S no. 4141/2008 "Flavoured Liquid Vegetable Oil" - E.S numbers: 49-1   49-3   49-5   49-6 . 49-7   49-8   2249   1520   1615 and 1632  have  been already mandated by Ministerial Decree No. 130/2005. - E.S number 1685 has been already mandated by Ministerial Decree No. 515/2005. - E.S numbers: 2100   2099   1706   1672   2098   2101   5107   5108   5109 and 4141 are voluntary . This standard specifies the essential requirements for vegetable oils described in Section 2.1 of this Standard which concerned with the definition  and presented in a state for human consumption. Worth mentioning is that this standard complies with Codex Standard 210 Adopted 1999. Revisions 2001  2003  2009. Amendment 2005  2011 2013  2015- CODEX Standard for Named Vegetable oils.</t>
  </si>
  <si>
    <t>Edible fats and oil</t>
  </si>
  <si>
    <t xml:space="preserve"> HS codes: 151550  1507  1515  1514  1512  1513  15152 </t>
  </si>
  <si>
    <t>G/SPS/N/THA/232</t>
  </si>
  <si>
    <t>The Ministry of Public Health (MOPH) is proposing to revise the MOPH notification concerning Import Requirement for Food with Risk from Bovine Spongiform Encephalopathy as follows: (1) The MOPH Notification No. 296 (B.E. 2549) (2006) entitled "Re: Foods with Risk from Bovine Spongiform Encephalopathy"  dated 13 January 2006  is repealed and replaced by this (Draft) MOPH Notification  (2) Classified the BSE risk status of the bovine population of a country  zone or compartment into three categories according to the OIE criteria  as follows: - Category 1: Negligible BSE risk Country  - Category 2: Controlled BSE risk Country  and - Category 3: Undetermined BSE risk Country  (3) Described the definitions of "Beef"  "Fresh Beef" and "Beef products"  (4) Prescribed the import requirements for fresh beef and beef products for human consumption into Thailand according to the OIE criteria  (5) The following organs: tonsils  distal ileum  brains  eyes  spinal cord  skull and vertebral column from cows of any age including and any foods products thereof  are prohibited to be imported from all area without concerning of level or area of BSE producing risk  (6)  This notification shall come into force on the following date after its publication in the Government Gazette.</t>
  </si>
  <si>
    <t xml:space="preserve"> HS codes: 0506  1502  0202  04  0201 </t>
  </si>
  <si>
    <t>G/SPS/N/SAU/185</t>
  </si>
  <si>
    <t>The Kingdom of Saudi Arabia/The Cooperation Council for the Arab States of the Gulf Draft Technical Regulation for: "Canned tuna"</t>
  </si>
  <si>
    <t>This draft technical regulation is concerned with the basic requirements of the concentrates products where tuna flesh content constitutes less than 50% (m/m).</t>
  </si>
  <si>
    <t>Canned tuna (ICS Code: 67.120.30)</t>
  </si>
  <si>
    <t>G/SPS/N/VNM/73</t>
  </si>
  <si>
    <t>List and concentration of antibiotics  drugs permitted for use in animal feed in Vietnam</t>
  </si>
  <si>
    <t>- List and concentration of 18 antibiotics and drugs permitted for use in feed as growth promotion or prevention of coccidiosis disease for livestock in Viet Nam  - Type of livestock: chickens or quails 1-28 days old  laying hens for breeder  pigs under 6</t>
  </si>
  <si>
    <t>Feed products for chickens or quails 1-28 days old  laying hens for breeder  pigs under 60kg body weight  cattle under 6 months old</t>
  </si>
  <si>
    <t>Animal feed  Animal health  Feed additives  Food safety  Human health</t>
  </si>
  <si>
    <t>G/SPS/N/MEX/255/Add.1</t>
  </si>
  <si>
    <t>Agua y hielo para consumo humano</t>
  </si>
  <si>
    <t>G/SPS/N/CHN/1041</t>
  </si>
  <si>
    <t>National Food Safety Standard: Natural Mineral Water</t>
  </si>
  <si>
    <t>This standard applies to all packaged natural mineral water offered for sale as food. It does not apply to natural mineral water sold or used for other purposes. It also does not apply to purified water and other types of drinking water.</t>
  </si>
  <si>
    <t xml:space="preserve">Natural mineral water </t>
  </si>
  <si>
    <t>G/SPS/N/CHN/1008</t>
  </si>
  <si>
    <t>National food safety standard: Reconstituted cereal products</t>
  </si>
  <si>
    <t>This standard applies to foods made from cereals or other starchy substances as main raw material  with or without the addition of auxiliary material  processed through cooking and/or drying and dehydrating  then obtained after direct reconstitution or after reconstitution and heating. The food may become sticky after reconstitution or reconstitution and heating. Such foods include oatmeal  sesame paste  lotus seed thick soup  lotus root starch  mixed beans paste  congee  etc.</t>
  </si>
  <si>
    <t>Reconstituted cereal products</t>
  </si>
  <si>
    <t xml:space="preserve"> HS codes: 2005  1104 </t>
  </si>
  <si>
    <t>G/SPS/N/ARE/60</t>
  </si>
  <si>
    <t>Ministerial Decree concerning the regulation of the import of Live animals (sheep  goat and cattle) and their products (Proposal)</t>
  </si>
  <si>
    <t>The proposed Ministerial Decree contains the procedures and requirements necessary for authorization of countries to export the covered products to the United Arab Emirates as well as terms and procedures of importations.</t>
  </si>
  <si>
    <t>Live animals (sheep  goat and cattle) and their products</t>
  </si>
  <si>
    <t xml:space="preserve"> HS codes: 0401  0103  0204  0102  0201 </t>
  </si>
  <si>
    <t>G/SPS/N/PHL/284/Add.1</t>
  </si>
  <si>
    <t>G/SPS/N/PHL/299/Add.1</t>
  </si>
  <si>
    <t>G/SPS/N/JPN/433</t>
  </si>
  <si>
    <t>Proposed maximum residue limits (MRLs) for the following agricultural chemical: Veterinary drug: Norfloxacin.</t>
  </si>
  <si>
    <t>- Meat and edible meat offal (HS Codes: 02.03  02.06  02.07 and 02.09) - Dairy produce  birds' eggs and natural honey (HS Codes: 04.07 and 04.08) - Products of animal origin (HS Code: 05.04) - Animal or vegetable fats and oils (HS Code: 15.01)</t>
  </si>
  <si>
    <t xml:space="preserve"> HS codes: 0407  0504  0408  0207  0206  0209  1501  0203 </t>
  </si>
  <si>
    <t>G/SPS/N/JPN/432</t>
  </si>
  <si>
    <t>Proposed maximum residue limits (MRLs) for the following agricultural chemical: Pesticide: Difenoconazole.</t>
  </si>
  <si>
    <t xml:space="preserve"> HS codes: 0707  0703  0805  1202  0702  0803  1008  0808  0504  0801  0802  1502  0909  0904  1206  0710  0810  0804  1006  1207  0910  0704  0206  0202  0207  0706  1005  0906  0907  0908  1201  0205  1506  0408  1501  1205  0902  0201  1204  0807  0401  0701  1212  0708  0903  1003  1001  0407  0811  0705  0204  0809  0709  0806  0814  0905  0208  0203  1002  0209 </t>
  </si>
  <si>
    <t>G/SPS/N/JPN/431</t>
  </si>
  <si>
    <t>Proposed maximum residue limits (MRLs) for the following agricultural chemical: Pesticide: Cycloprothrin.</t>
  </si>
  <si>
    <t>- Fish and crustaceans  molluscs and other aquatic invertebrates (HS Codes: 03.02  03.03 and 03.04) - Edible vegetables and certain roots and tubers (HS Codes: 07.01  07.02  07.03  07.04  07.05  07.06  07.07  07.08  07.09  07.10  07.13 and 07.14) - Edible</t>
  </si>
  <si>
    <t xml:space="preserve"> HS codes: 0303  0802  1002  1801  1004  1204  0811  0901  0902  0704  1007  0709  0809  0903  0806  0713  1003  1005  0910  0904  0814  0906  1202  0805  0808  1206  0304  0706  0801  0701  0804  0707  0714  0703  0907  0810  1006  0702  0905  1201  0705  1210  0807  1205  1207  0909  0908  0803  1212  1001  0302  0710  1008  0708 </t>
  </si>
  <si>
    <t>G/SPS/N/JPN/430</t>
  </si>
  <si>
    <t>Proposed maximum residue limits (MRLs) for the following agricultural chemical: Pesticide: Acibenzolar-S-methyl.</t>
  </si>
  <si>
    <t>- Edible vegetables and certain roots and tubers (HS Codes: 07.02  07.03  07.04  07.05  07.09 and 07.10) - Edible fruits and nuts  peel of citrus/melons (HS Codes: 08.03  08.10  08.11 and 08.14) - Coffee  tea  mate and spices (HS Codes: 09.03  09.04  09.0</t>
  </si>
  <si>
    <t xml:space="preserve"> HS codes: 1008  0909  0702  0910  0904  0810  1006  1207  1005  0704  0907  0908  1001  0709  0710  0906  0803  1003  0814  0703  0903  1007  0811  0705  1004  0905  1002 </t>
  </si>
  <si>
    <t>G/SPS/N/TUR/66</t>
  </si>
  <si>
    <t>Turkish Food Codex Communiqué Amending the Communiqué on tomatoes and red pepper paste and puree</t>
  </si>
  <si>
    <t>This amendment provides for:  - The definition of tomato and red pepper paste mixed  - The mixed paste properties  - Lemon and lime juice concentrate to join the products covered in this Communiqué  - The revised criteria for total acidity and pH in red pepper paste.</t>
  </si>
  <si>
    <t>Tomatoes and red pepper paste and puree</t>
  </si>
  <si>
    <t xml:space="preserve"> HS codes: 2103 </t>
  </si>
  <si>
    <t>G/SPS/N/EGY/66/Add.1</t>
  </si>
  <si>
    <t>Milk products</t>
  </si>
  <si>
    <t>G/SPS/N/MAC/16</t>
  </si>
  <si>
    <t>Limite de microrganismos patogénicos em fórmulas infantis para lactentes (Limits of Pathogenic Microorganisms in Powdered Infant Formulae)</t>
  </si>
  <si>
    <t>The Administrative Regulation No. 16/2015 Limite de microrganismos patogénicos em fórmulas infantis para lactentes (Limits of Pathogenic Microorganisms in Powdered Infant Formulae) is a food safety standard that establishes the limits of specific pathogenic microorganisms in powdered infant formulae. In the definition of this regulation  Infant means a person not more than 12 months of age  Powdered Infant Formulae refers to a powdered breast-milk substitute specially manufactured to satisfy  by itself  the nutritional requirements of infants during the first months of life up to the introduction of appropriate complementary feeding  Pathogenic Microorganisms refers to microbiological organisms that may cause food poisoning  including those that produce toxins in food or those that cause intestinal infection. This Administrative Regulation stipulates that microbiological criteria of pathogenic microorganisms in powdered infant formulae must be in accordance with the terms of the list provided.</t>
  </si>
  <si>
    <t>Infant formulae (ICS Code: 67.230)</t>
  </si>
  <si>
    <t>G/SPS/N/PHL/300/Add.1</t>
  </si>
  <si>
    <t>G/SPS/N/PHL/287/Add.1</t>
  </si>
  <si>
    <t xml:space="preserve"> HS codes: 0105  05119  0207  0407 </t>
  </si>
  <si>
    <t>G/SPS/N/VNM/72</t>
  </si>
  <si>
    <t>Circular promulgates national technical regulation amending and supplementing some provisions of the national technical regulation QCVN 5-1: 2010/BYT for liquid milk products issued by Circular No. 30/2010 /TT-BYT dated 2 June 2010 by the Ministry of Health</t>
  </si>
  <si>
    <t>Liquid milk products</t>
  </si>
  <si>
    <t>G/SPS/N/THA/229/Corr.1</t>
  </si>
  <si>
    <t>Live poultry and poultry carcasses  HS Code(s): 0105  0207  0407  0408</t>
  </si>
  <si>
    <t xml:space="preserve"> HS codes: 0407  0207  0105  0408 </t>
  </si>
  <si>
    <t>G/SPS/N/USA/2759/Add.1</t>
  </si>
  <si>
    <t>Fresh Pitahaya</t>
  </si>
  <si>
    <t xml:space="preserve"> HS codes: 081190 </t>
  </si>
  <si>
    <t>G/SPS/N/COL/260</t>
  </si>
  <si>
    <t>Animal feed  Animal health  Contaminants  Food safety  Heavy metals  Human health  Veterinary drugs</t>
  </si>
  <si>
    <t>Jordan</t>
  </si>
  <si>
    <t>Plant protection  Protect territory from other damage from pests</t>
  </si>
  <si>
    <t>G/SPS/N/CHL/490/Add.1</t>
  </si>
  <si>
    <t>Carnes de cerdo enfriada o congelada</t>
  </si>
  <si>
    <t>G/SPS/N/TPKM/376</t>
  </si>
  <si>
    <t>Draft Standards for Veterinary Drug Residue Limits in Foods</t>
  </si>
  <si>
    <t>The maximum residue limit for Dimetridazole  Olaquindox and Roxarsone are proposed to be revoked since the use of these drugs had been banned.</t>
  </si>
  <si>
    <t>Pig and poultry tissues</t>
  </si>
  <si>
    <t xml:space="preserve"> HS codes: 0207  0203 </t>
  </si>
  <si>
    <t>G/SPS/N/SAU/183</t>
  </si>
  <si>
    <t>The Kingdom of Saudi Arabia/The Cooperation Council for the Arab States of the Gulf Draft Technical Regulation for: "Natural Pomegranate Molasses"</t>
  </si>
  <si>
    <t>This draft technical regulation applies to natural pomegranate molasses.</t>
  </si>
  <si>
    <t>Natural pomegranate molasses (ICS Code: 67.080.10)</t>
  </si>
  <si>
    <t>G/SPS/N/SAU/182</t>
  </si>
  <si>
    <t>The Kingdom of Saudi Arabia/The Cooperation Council for the Arab States of the Gulf Draft Technical Regulation for: "Yoghurt"</t>
  </si>
  <si>
    <t>This draft technical regulation concerns with the requirements for yoghurt and sweetened yoghurt used for human consuption.</t>
  </si>
  <si>
    <t>Yoghurt (ICS Code: 67. 100)</t>
  </si>
  <si>
    <t xml:space="preserve"> HS codes: 040310 </t>
  </si>
  <si>
    <t>G/SPS/N/AUS/358/Add.1</t>
  </si>
  <si>
    <t>Pork and pork commodities</t>
  </si>
  <si>
    <t>G/SPS/N/SAU/178</t>
  </si>
  <si>
    <t>The Kingdom of Saudi Arabia/The Cooperation Council for the Arab States of the Gulf Draft Technical Regulation for: "Wheat protein products including wheat gluten"</t>
  </si>
  <si>
    <t>This draft technical regulation applies to wheat protein products including wheat gluten which is intended for use in food and food manufactures.</t>
  </si>
  <si>
    <t>Wheat protein products including wheat gluten (ICS Code: 67.060)</t>
  </si>
  <si>
    <t xml:space="preserve"> HS codes: 1109  1103 </t>
  </si>
  <si>
    <t>G/SPS/N/SAU/177</t>
  </si>
  <si>
    <t>The Kingdom of Saudi Arabia/The Cooperation Council for the Arab States of the Gulf Draft Technical Regulation for: "LACTOSE"</t>
  </si>
  <si>
    <t>This draft technical regulation applies to lactose.</t>
  </si>
  <si>
    <t>Lactose (ICS Code: 67.180)</t>
  </si>
  <si>
    <t>G/SPS/N/SAU/170</t>
  </si>
  <si>
    <t>The Kingdom of Saudi Arabia/The Cooperation Council for the Arab States of the Gulf Draft Technical Regulation for: "Animal feeding-corn"</t>
  </si>
  <si>
    <t>This draft technical regulation applies to corn that is suitable for animal feed.</t>
  </si>
  <si>
    <t>Animal feeding-corn (ICS Code: 65.120)</t>
  </si>
  <si>
    <t>G/SPS/N/KOR/519</t>
  </si>
  <si>
    <t>The proposed amendments seek to: 1. Revise the definition of natural cheese  and the specifications to include whey cheese  2. Revise the processing standards for Infant formula and follow-on formula to be able to add gas mixture of nitrogen and carbon dioxide  3. Establish and Revise the nutrients analysis methods for Infant formula and follow-on formula: 1) Establish analysis method for selenium  2) Revise analysis methods for niacin and Vit B12 and scorched particle  4. Revise analysis method for the phosphatase in milk.</t>
  </si>
  <si>
    <t xml:space="preserve"> HS codes: 0406  190110  0401 </t>
  </si>
  <si>
    <t>G/SPS/N/EU/147</t>
  </si>
  <si>
    <t>Commission Implementing Regulation (EU) 2015/1399 of 17 August 2015 concerning the denial of authorisation of the preparation of Bacillus toyonensis (NCIMB 14858T) (formerly Bacillus cereus var. toyoi NCIMB 40112/CNCM I-1012) as a feed additive for cattle for fattening  rabbits for fattening  chickens for fattening  piglets (weaned)  pigs for fattening  sows for reproduction and calves for rearing and the revocation of the authorisations of the preparation of Bacillus cereus var. toyoi (NCIMB 40112/CNCM I-1012) as a feed additive for turkeys for fattening and rabbit breeding does  amending Regulations (EC) No 256/2002  (EC) No 1453/2004  (EC) No 255/2005 and (EC) No 1200/2005 and repealing Regulations (EC) No 166/2008  (EC) No 378/2009 and Implementing Regulation (EU) No 288/2013 (Text with EEA relevance)</t>
  </si>
  <si>
    <t>The regulatory measure denies the authorisation of  commercialisation of the preparation Bacillus toyonensis (NCIMB 14858T) as a feed additive for use for cattle for fattening  rabbits for fattening  chickens for fattening  piglets (weaned)  pigs for fattening  sows for reproduction and calves for rearing. This is a definitive measure  following a suspension of the authorisation issued in 2013 (Regulation (EC) 288/2013 of 25 March 2013). The feed additive Bacillus cereus var. toyoi (NCIMB 40112/CNCM I-1012) ("Toyocerin®") was re-evaluated by the European Food Safety Authority (EFSA) under Regulation (EC) No 1831/2003 on additives for use in animal nutrition (Official Journal of the EU L 268  18.10.2003  p. 29). On 16 October 2012  EFSA adopted an opinion raising safety concerns about the use of Toyocerin® as feed additive. On that basis  supplementary data were submitted by the applicant for authorisation concerning essentially the taxonomic classification of the micro-organism  the issue of the transferability of the antibiotic resistance and the issue of the functionality of the enterotoxin genes present in the genome of the micro-organism. After assessment of those supplementary data  EFSA adopted an opinion on 1 July 2014 which confirmed the safety concerns as regards antibiotic susceptibility and toxigenic potential of the additive. Consequently  the regulatory conditions for authorisation of the feed additive Toyocerin® were no longer met as regards the absence of adverse effects on human and animal health. Therefore the authorisation had to be denied. Since existing stocks of the preparation of Bacillus cereus var. toyoi (NCIMB 40112/CNCM I-1012)  of premixtures containing that preparation and of feed materials and compound feed produced from that preparation were already to be withdrawn from the market according to Article 7 of Implementing Regulation (EU) No 288/2013  no transitional measures were provided for.</t>
  </si>
  <si>
    <t>Feed additives included in HS code 2309</t>
  </si>
  <si>
    <t>G/SPS/N/USA/2790</t>
  </si>
  <si>
    <t>Environmental Assessments  Availability  etc.: Finding of No Significant Impact for Field Use of Vaccines Against Avian Influenza H5 Virus Strains (APHIS-2015-0062)</t>
  </si>
  <si>
    <t>Animal and Plant Health Inspection Service is advising the public that an environmental assessment has been prepared by the Animal and Plant Health Inspection Service relative to the use of one or more veterinary biological products as a treatment for and as an aid in the reduction of highly pathogenic avian influenza (HPAI) incidence caused by strains such as Eurasian H5 viruses of clade 2.3.4.4 lineage. Any biological products would become part of the measures to reduce the incidence of HPAI in the nation's commercial poultry flocks. Based on the environmental assessment  we have concluded that the use of vaccines as described in the environmental assessment will not have a significant impact on the human environment. We are making this environmental assessment and finding of no significant impact available to the public for review and comment.  Federal Register /Vol. 80  No. 194 /Wednesday  7 October 2015 pgs. 60613-60614</t>
  </si>
  <si>
    <t xml:space="preserve"> HS codes: 0407  0207  0105 </t>
  </si>
  <si>
    <t>G/SPS/N/EGY/73</t>
  </si>
  <si>
    <t>Ministerial Decree No. 536 for the year 2015 concerning the modified  Egyptian Standard 132-3/2005 "Preserved Tomato Products Part 3: Ketchup" that supersedes its last edition in 2005  that has already been mandated by Ministerial Decree No. 130/2005</t>
  </si>
  <si>
    <t>This Ministerial Decree provides producers and importers a transitional period of six months to comply with the modified Egyptian standard ES 132-3 /2015 for "Tomato products part 3: Ketchup" that supersedes its last edition in 2005 that has been already mandated by Ministerial Decree No. 130/2005 This standard specifies the essential requirements and descriptive for ketchup.</t>
  </si>
  <si>
    <t>Vegetables and fruits products</t>
  </si>
  <si>
    <t xml:space="preserve"> HS codes: 210320 </t>
  </si>
  <si>
    <t>G/SPS/N/EGY/70</t>
  </si>
  <si>
    <t>Ministerial Decree No. 536 for the year 2015 concerning the modified the Egyptian Standard ES 132-1/2015 for "Preserved Tomato Products - Part 1 Tomato Concentrates" that supersedes its last edition in 2005 that has already been mandated by Ministerial Decree No. 130/2005</t>
  </si>
  <si>
    <t>This Ministerial Decree provides producers and importers a transitional period of six months to comply with the modified Egyptian standard ES 132-1/2015 "Preserved tomato Products - Part 1 Tomato Concentrates" which  supersedes its last edition in 2005 that has been already mandated by Ministerial Decree No. 130/2005 . This standard complies with Codex Standard No.57/2007  for Tomato Concentrates. It specifies the essential requirements and descriptive criteria  that applies to the tomato concentrates (processed and natural preserved tomato concentrates) as defined in clause 2 of this  standard  and offered for direct consumption  including for catering purposes or for repacking if required. This Standard also applies to the product when indicated as being intended for further processing.  The Standard does not include products that contain seeds and skins such as "pizza toppings" and other "homestyle" products as well as products commonly known as tomato sauce  chilli sauce  and ketchup  or similar products which are highly seasoned products of varying concentrations containing characterising ingredients such as pepper  onions  vinegar  etc.  in quantity that materially alter the flavour  aroma and taste of the tomato component.</t>
  </si>
  <si>
    <t>HS Code(s): 0105  0207  0407  05119</t>
  </si>
  <si>
    <t>G/SPS/N/NZL/524</t>
  </si>
  <si>
    <t>Microbiological Criteria for Infant Formula</t>
  </si>
  <si>
    <t>Proposal P1039 has been prepared to consider food safety microbiological criteria for infant formula  aligning with international (Codex) standards and has prepared a draft food regulatory measure. Food Safety Criteria for Salmonella and Cronobacter spp have been included within a Schedule in the revised Code  (Schedule 27).</t>
  </si>
  <si>
    <t>Powdered infant formula products sold in New Zealand (both imported and domestically produced)</t>
  </si>
  <si>
    <t>G/SPS/N/AUS/371</t>
  </si>
  <si>
    <t xml:space="preserve"> Proposal P1039  Microbiological Criteria for Infant Formula</t>
  </si>
  <si>
    <t>Powdered infant formula products sold in Australia (both imported and domestically produced)</t>
  </si>
  <si>
    <t>G/SPS/N/PER/620</t>
  </si>
  <si>
    <t xml:space="preserve"> HS codes: 12  10  100300  060210  1207  100610  060110  060220  06  060290 </t>
  </si>
  <si>
    <t>Pest or Disease free Regions  Pests  Plant health</t>
  </si>
  <si>
    <t>G/SPS/N/RUS/110</t>
  </si>
  <si>
    <t>Draft of the Eurasian Economic Commission Council Decision on amendments to the Common list of goods subject to veterinary control (supervision)</t>
  </si>
  <si>
    <t>This document introduces amendments to the Eurasian Economic Commission Decision as of 18 June 2010 No. 317. The mentioned decision is adjusted with the following: 1) from HS Codes: 0708  0713 - leguminous vegetables for animal feed  2) from HS Code: 0807 - citron watermelons for animal feed  3) from HS Codes: 1518 00  2102  2936  3002  3002 90 500 0  3302  3203 00  3212  3504 00  3500 900 0  3507  3507909000  3808  3824  3824 90 970 9 - feed additives.</t>
  </si>
  <si>
    <t>Leguminous vegetables applied for feed from HS Codes: 0708  0713  citron watermelons for feed from HS Code: 0807  feed additives from HS Codes: 1518 00  2102  2936  3002  3002 90 500 0  3302  3203 00  3212  3504 00  3504 00 900 0  3507  3507909000  3808  3824  3824 90 970 9</t>
  </si>
  <si>
    <t xml:space="preserve"> HS codes: 3212  320300  350400  350790  2102  3302  3824  151800  2936  382490  300290  3808  0708  0807  3002  3507  0713 </t>
  </si>
  <si>
    <t>Animal feed  Animal health  Feed additives</t>
  </si>
  <si>
    <t>G/SPS/N/RUS/109</t>
  </si>
  <si>
    <t>Draft of the Eurasian Economic Commission Collegium Decision on amendments to the Common veterinary (veterinary and sanitary) requirements for goods subject to veterinary control (supervision)</t>
  </si>
  <si>
    <t>This document introduces amendments to the Eurasian Economic Commission Decision as of 18 June 2010 No. 317. The mentioned decision defines the regulation measures while importing the regulated products to the territory of the Eurasian Economic Union. This document also changes the list of the regulation measures for certain types of the regulated products is changed.</t>
  </si>
  <si>
    <t>Leguminous vegetables applied for feed from HS Codes: 0708  0713  citron watermelons for feed from HS Code: 0807  feed additives from HS Codes: 1518 00  2102  2936  3002  3002 90 5000  3302  3203 00  3212  3504 00  3504 00 900 0  3507909000  3824  3824 90 970 9</t>
  </si>
  <si>
    <t xml:space="preserve"> HS codes: 3002  0807  3824  300290  0708  382490  2936  151800  0713  3302  2102  350790  350400  320300  3212 </t>
  </si>
  <si>
    <t>G/SPS/N/EU/146</t>
  </si>
  <si>
    <t>Commission Implementing Regulation (EU) 2015/1607 of 24 September 2015 amending Annex I to Regulation (EC) No 669/2009 implementing Regulation (EC) No 882/2004 of the European Parliament and of the Council as regards the increased level of official controls on imports of certain feed and food of non-animal origin (Text with EEA relevance)</t>
  </si>
  <si>
    <t>The Regulation reviews the list of imports of feed and food of non-animal origin which are subject to an increased level of official controls. The changes concern: the listing of groundnuts and derived products from the Gambia  raspberries from Serbia  and the de-listing of vine fruit from Uzbekistan  betel leaves from Thailand  and mint from Morocco.</t>
  </si>
  <si>
    <t>HS Code(s): 070490  070810  070820  070960  070930  070940  070990  071022  071080  08021  080250  080610  080620  081090  081120  081310  0902  090420  090810  110630  1202  120740  121190  140490  200811  200850  20089  3507  081010</t>
  </si>
  <si>
    <t xml:space="preserve"> HS codes: 0902  080610  080620  110630  120740  071080  070930  070810  080250  081120  070490  070820  070940  070960  1202  081010  200811  3507  081090  081310  08021  140490  090420  121190  090810  070990  200850  20089  071022 </t>
  </si>
  <si>
    <t>Animal feed  Contaminants  Food safety  Human health</t>
  </si>
  <si>
    <t>G/SPS/N/NGA/16</t>
  </si>
  <si>
    <t>Plants (Control of Importation) Regulations  1964 of Federal Republic of Nigeria</t>
  </si>
  <si>
    <t>Regulations guiding the importation of the above listed plants and plant products into Nigeria as indicated in the Plants (Control of Importation) Regulations  1964  First Schedule Regulation 4  with a view to prevent the entry  spread and establishment of exotic pests and diseases of the listed plants and plant products thereby facilitating International Trade with the importing countries in line with International Standards as listed in the guidelines of the International Plant Protection Convention (IPPC).</t>
  </si>
  <si>
    <t>1. Acacia spp. 2. Aleurites spp. 3. Allium spp. (Shallots  onions and other spp.) 4. Avocado (Persea spp.) HS Code: 0804.4000.00 5. Banana and Plantains (Musa spp.) 08.03 6. Cacao (Theobroma spp.) Chapter 18 7. Cassava (Manihot spp.) HS Code: 0714.1000.00 8. Chestnut (Castanea vulgaris) HS Code: 0802.4000.00 9. Citrus 08.05 10. Clover (Trifolium spp.) 11. Coconut HS Code: 0801.1100.00 12. Coffee (Coffea spp.) 09.01 13. Conifers 14. Cotton (Gossypium spp.) Chapter 52  15. Cowpea (Vignia spp.) 16. Date Palms (Phoenix dactylifera) 17. Elm (Ulmus spp. And Zelkova spp.) 18. Eucalyptus (all spp.) 19. Flax  New Zealand (Phormium tenax) 20. Forest Trees (all species except Conifers and Eucalyptus) 21. Ginger (Zingiber officinale) HS Code: 0910.1000.00 22. Graminae 23. Grape Vine (Vitis and other members of Vitaceae) 24. Groundnut (and other Arachis spp.) HS Code: 1508.1000.00 25. Helianthus spp. 26. Kola (Cola spp.) HS Code: 0802.9010.00 27. Lucerne (Medicago sativum) HS Code: 1209.2100.00 28. Maize (Zea mays and other species of the subfamily Maydeae) 1005. 29. Malvaceae (Except cotton) and Bombacaeae 30. Mangoes (Mangifera indica and Anacardium spp.) HS Code: 0804.5010.00 31. Oil palms (Elaeis spp.) 1511 32. Olea spp. 33. Opuntia spp. 34. Passion Fruits (Passiflora  spp. and Tacsonia spp.) 35. Peas and related Plants (Pisum spp.  Lathyrus spp.  Vicia spp.) HS Codes: 0708.1000.00  0710.2100.00 36. Pepper (Piper nigrum) 37. Pepper and Chillies (Capsicum spp.) HS Codes: 0904.1100.00  0904.1200.00 38. Pineapple (Ananas comosus) HS Code: 0804.3000.00 39. Potatoes (and allied Solanum spp.) HS Code: 0710.1000.00 40. Pyrethrum (Chrysanthemum cineraraefolium) HS Code: 1211.9020.00 41. Rice (Oryza spp.) 10066 42. Rosaceae  Fruits and Ornamentals 43. Rubber Trees (Hevea spp.) 44. Sisal (Agave and Fourcroya spp.) HS Code: 5308.9010.00 45. Sorghum spp. HS Code: 1007.0000.00 46. Soya Bean (Glycine soja) HS Code: 1201.0000.00 47. Strawberry HS Codes: 0810.1000.00  0811.1000.00 48. Sugar-cane (Saccharum officinarum and Saccharum spp.) HS Code: 1701.1100.00 49. Sweet Potatoes (Ipomoea batatas and Ipomea spp.) HS Code: 0714.2000.00 50. Tea (Thea assamica) 0902 51. Tobacco (Nicotiana spp.) Chapter 24 52. Tomatoes (Solanum lycopersicum and other spp.) HS Code: 0702.0000.00 53. Wheat (Triticum spp.) 1001 54. Wild plants and plants not mentioned 55. Yam (Dioscorea spp.) HS Code: 0714.9010.00 56. Small Cereals (Barley HS Code: 1003.0000.00  Wheat  Oats HS Code: 1004.0000.00  Rye HS Code: 1002.0000.00) 57. Bulbs  Tubers  Rhizomes  and other subterranean parts for propagation of ornamentals and other plants (except potatoes and sweet potatoes) 0601 58. Fresh Fruits (excluding Rosaceae and Citrus) 59. Ornamental plants  Shrubs and Trees (except  Rosaceae) 0604 60. Soils and Composts 61. Other organisms 62. Botanical Specimens</t>
  </si>
  <si>
    <t xml:space="preserve"> HS codes: 08  0601  18  0902  071010  081110  120100  100700  100400  081010  530890  170111  090412  070200  090411  24  080450  080240  070310  071021  080290  080440  080430  091010  0603  0901  0805  071490  100300  100200  1001  0604  1005  1006  1214  121190  080111  120921  071420  0803  150810  071410  52  1511  0602 </t>
  </si>
  <si>
    <t>Pests  Plant diseases  Territory protection</t>
  </si>
  <si>
    <t>G/SPS/N/COL/128/Add.1</t>
  </si>
  <si>
    <t>Caracoles de tierra</t>
  </si>
  <si>
    <t xml:space="preserve"> HS codes: 160590 </t>
  </si>
  <si>
    <t>G/SPS/N/ARE/58</t>
  </si>
  <si>
    <t>Ministerial Decree concerning the regulation of the import of live birds and their products (Proposal)</t>
  </si>
  <si>
    <t>Live poultry (HS Code: 0105)  and poultry products including poultry meat (HS Code: 0207)  day-old chicks (HS Code: 0105.11)  hatching eggs and heat treated poultry products</t>
  </si>
  <si>
    <t>G/SPS/N/AUS/150/Add.2</t>
  </si>
  <si>
    <t>Pig meat</t>
  </si>
  <si>
    <t>G/SPS/N/TPKM/373</t>
  </si>
  <si>
    <t>Regulations for Certificate Inspections of Genetically Modified Feed and Feed Additives (Draft)</t>
  </si>
  <si>
    <t>The regulations for certificate inspections of genetically modified feed and feed additives.</t>
  </si>
  <si>
    <t>Animal feed and feed additives</t>
  </si>
  <si>
    <t>G/SPS/N/TPKM/372</t>
  </si>
  <si>
    <t>Regulations for Inspection of Imported Feed and Additives (Draft)</t>
  </si>
  <si>
    <t>The regulations for inspection of imported feed and additives.</t>
  </si>
  <si>
    <t>G/SPS/N/TPKM/371</t>
  </si>
  <si>
    <t>Regulations for Manufacture/Import License of Feed and Feed Additives (Draft)</t>
  </si>
  <si>
    <t>The regulations for manufacture/import license of feed and feed additives.</t>
  </si>
  <si>
    <t>Haiti</t>
  </si>
  <si>
    <t>G/SPS/N/HTI/1</t>
  </si>
  <si>
    <t xml:space="preserve"> HS codes: 110100 </t>
  </si>
  <si>
    <t>G/SPS/N/USA/2782</t>
  </si>
  <si>
    <t>African Swine Fever  European Union and EU Member State Regionalization Decisions  Updating APHIS List of Regions Affected</t>
  </si>
  <si>
    <t>The Animal and Plant Health Inspection Service is advising the public that it is adding the European Union (EU) and the EU member State-defined regions of the European Union to the Animal and Plant Health Inspection Service (APHIS) list of regions affected with African swine fever (ASF). APHIS will recognize as affected with ASF any region of the European Union that the EU or any EU member State has placed under restriction because of the detection of ASF. These regions currently include portions of Estonia  Latvia  Lithuania  and Poland  and all of Sardinia. APHIS will list the EU- and EU member State-defined regions as a single entity. It is therefore removing Sardinia as an individually listed region from the APHIS list of ASF affected regions. APHIS is taking this action because of the detection of ASF in Estonia  Latvia  Lithuania  and Poland.  Federal Register  Vol. 80  No. 168  Monday  31 August 2015  pgs 52440-52441.</t>
  </si>
  <si>
    <t>G/SPS/N/NGA/7</t>
  </si>
  <si>
    <t>Fruit Juice and Nectar Regulations 2005</t>
  </si>
  <si>
    <t xml:space="preserve">This Regulation prohibits the manufacture  importation  advertisement  sale and distribution of any fruit juice or nectar which contains non-nutritive sweetener without the approval of the Agency (NAFDAC). It also defines fruit juices  nectar and fruit puree  and spells out their organoleptic properties  use and limits of food additives  maximum limits of contaminants. The Regulation specifies that the name of fruit juice should indicate its nature  and spells out penalties for violation. The Regulation contains 5 schedules: 1. Contains definition and composition of fruit juices nectar and fruit puree 2. Contains the composition 3. Minimum juice and/puree in fruit nectars 4. Uses and limits of food additives  5. Maximum limits of contaminants in fruit juice and nectars.   </t>
  </si>
  <si>
    <t>HS Code(s):  20  All fruit juices  nectar and fruit puree intended for sale to consumers (HS Code: 2009)</t>
  </si>
  <si>
    <t xml:space="preserve"> HS codes: 20  2009 </t>
  </si>
  <si>
    <t>Contaminants  Food additives  Food safety  Human health  Maximum residue limits (MRLs)</t>
  </si>
  <si>
    <t>G/SPS/N/USA/2724/Add.1</t>
  </si>
  <si>
    <t>Meat and meat products</t>
  </si>
  <si>
    <t xml:space="preserve"> HS codes: 0204  0201  0203 </t>
  </si>
  <si>
    <t>G/SPS/N/IND/111</t>
  </si>
  <si>
    <t>Food Safety and Standards (Food Product Standards and Food Additives) Amendment  Regulation  2015 and dated 5 June 2015</t>
  </si>
  <si>
    <t>The Food Safety and Standards (Food Product Standards and Food Additives) Amendment Regulation  2015  prescribes the standards for salted fish/dried salted fish and the amendment to the standards [Food Safety and Standards (Food Product Standards and Food Additives) Regulation  2011]</t>
  </si>
  <si>
    <t xml:space="preserve">Fish and fish products  </t>
  </si>
  <si>
    <t xml:space="preserve"> HS codes: 0305 </t>
  </si>
  <si>
    <t>G/SPS/N/CHN/1004</t>
  </si>
  <si>
    <t>National Food Safety Standard of the P.R.C.: Code of Hygienic Practice for the Production of Beer</t>
  </si>
  <si>
    <t>This standard applies to the production of beer.</t>
  </si>
  <si>
    <t>Beer</t>
  </si>
  <si>
    <t>G/SPS/N/CHN/1000</t>
  </si>
  <si>
    <t>National Food Safety Standard of the P.R.C.: Code of Hygienic Practice for the Production of Preserved Fruits</t>
  </si>
  <si>
    <t>This standard applies to the production of preserved fruits.</t>
  </si>
  <si>
    <t>Preserved fruits</t>
  </si>
  <si>
    <t xml:space="preserve"> HS codes: 2006  2008 </t>
  </si>
  <si>
    <t>G/SPS/N/CHN/998</t>
  </si>
  <si>
    <t>National Food Safety Standard of the P.R.C.: Code of Hygienic Practice for the Production of Pastry and Bread</t>
  </si>
  <si>
    <t>This standard applies to the production and sales of pastry and bread.</t>
  </si>
  <si>
    <t>Pastry and bread</t>
  </si>
  <si>
    <t>G/SPS/N/CHN/996</t>
  </si>
  <si>
    <t>National Food Safety Standard of the P.R.C.: Code of Hygienic Practice for the Production of Egg Products</t>
  </si>
  <si>
    <t>This standard applies to the production of egg products.</t>
  </si>
  <si>
    <t>Egg products</t>
  </si>
  <si>
    <t xml:space="preserve"> HS codes: 0408  0407 </t>
  </si>
  <si>
    <t>G/SPS/N/CHN/992</t>
  </si>
  <si>
    <t>National Food Safety Standard of the P.R.C.: Code of Hygienic Practice for the Production of Fermented Vinegar</t>
  </si>
  <si>
    <t>This standard applies to the production of fermented vinegar.</t>
  </si>
  <si>
    <t>Fermented Vinegar</t>
  </si>
  <si>
    <t xml:space="preserve"> HS codes: 2209 </t>
  </si>
  <si>
    <t>G/SPS/N/JPN/396/Rev.1/Corr.1</t>
  </si>
  <si>
    <t>Meat and edible meat offal (HS Codes: 02.01  02.02  02.03  02.04  02.05  02.06  02.07  02.08 and 02.09) Fish and crustaceans  molluscs and other aquatic invertebrates (HS Codes: 03.02  03.03  03.04  03.06 and 03.07) Dairy produce  birds' eggs and natural honey (HS Codes: 04.01  04.07 and 04.08) Products of animal origin (HS Codes: 05.04) Animal or vegetable fats and oils (HS Codes: 15.01  15.02 and 15.06)</t>
  </si>
  <si>
    <t xml:space="preserve"> HS codes: 0206  1506  0302  0208  0408  0307  1501  0304  0504  0209  1502  0201  0306  0203  0407  0401  0205  0207  0204  0202  0303 </t>
  </si>
  <si>
    <t>Feed additives  Food safety  Human health  Maximum residue limits (MRLs)  Veterinary drugs</t>
  </si>
  <si>
    <t>G/SPS/N/JPN/396/Rev.1</t>
  </si>
  <si>
    <t>Revision of the Standards and Specifications for Foods and Food Additives under the Food Sanitation Law (revision of agricultural chemical residue standards)</t>
  </si>
  <si>
    <t>Proposed maximum residue limits (MRLs) for the following agricultural chemicals: Veterinary drug/feed additive - Lasalocid Japan has received some comments and relevant data through the WTO/SPS notification as G/SPS/N/JPN/396 circulated on 3 February 2015. The MHLW has decided to modify the draft maximum residue limits (MRLs) for Lasalocid in some commodities based on the provided data.</t>
  </si>
  <si>
    <t xml:space="preserve"> HS codes: 0307  0408  0208  0303  0201  1506  0205  0306  0407  0302  1502  1501  0203  0207  0206  0401  0204  0209  0504  0202  0304 </t>
  </si>
  <si>
    <t>G/SPS/N/JPN/428</t>
  </si>
  <si>
    <t>Proposed maximum residue limits (MRLs) for the following agricultural chemical: Pesticide - Flumetsulam</t>
  </si>
  <si>
    <t>- Meat and edible meat offal (HS Codes: 02.01  02.02  02.03  02.04  02.05  02.06  02.07  02.08 and 02.09) - Dairy produce  birds' eggs and natural honey (HS Codes: 04.01  04.07 and 04.08) - Products of animal origin (HS Codes: 05.04) - Edible vegetables a</t>
  </si>
  <si>
    <t xml:space="preserve"> HS codes: 0204  0202  0504  0401  0206  1002  0209  0207  0713  1001  0203  1501  1202  1502  1201  0407  0906  0205  0903  1003  0710  1506  0905  0814  0708  0709  1004  0201  1005  0904  0408  0208  1008  0910  0909  0908  1007  0907 </t>
  </si>
  <si>
    <t>G/SPS/N/EGY/67</t>
  </si>
  <si>
    <t xml:space="preserve">Draft Egyptian Standard for Soft Cheese Part 2: Cream Cheese (Double Cream) to supersede E.S. No. 1008-2/2005 "Soft cheese Part 2:  Cream Cheese (Double Cream)" that has been already mandated by Ministerial Decree No. 515/2005 </t>
  </si>
  <si>
    <t>The draft Egyptian Standard for Soft Cheese Part 2: Cream Cheese (Double Cream) complies with Codex Standard No. 275/2010 for Cream Cheese. This standard specifies the essential requirements and descriptive criteria for Cream Cheese intended for direct consumption or for further processing in conformity with the description in Section 2 of this Standard concerning the definition.</t>
  </si>
  <si>
    <t>G/SPS/N/EGY/66</t>
  </si>
  <si>
    <t xml:space="preserve">Draft of the  Egyptian Standard for Semi - Hard Cheese Part 2: Mould Ripened - Blue Cheese  supersedes E.S. No. 1183-2/2005 "Semi - Hard Cheese Part  2: Mould Ripened - Blue Cheese" that has been already mandated by Ministerial Decree No. 515/2005  </t>
  </si>
  <si>
    <t xml:space="preserve">Draft Egyptian Standard for Semi - Hard Cheese Part  2: Mould ripened - blue cheese specifies the essential requirements and descriptive criteria for Semi - Hard Cheese Part 2: Mould ripened - blue cheese.  It complies with CFR - Code of Federal Regulations Title 21 Subchapter B - Food for human consumption Part 133 - cheese and related cheese products Sec.133.106 Blue cheese. </t>
  </si>
  <si>
    <t>G/SPS/N/EGY/65</t>
  </si>
  <si>
    <t xml:space="preserve">Draft Egyptian Standard for Edible Named Vegetable Oils superseding the relevant Egyptian Standards already mandated by Ministerial Decree No. 130 for the year 2005 </t>
  </si>
  <si>
    <t xml:space="preserve">The Draft of Egyptian Standard for Edible Named  Vegetable Oils complies with CODEX STAN. 210. Adopted 1999. Revisions 2001  2003  2009. Amendment 2005  2011  2013 and supersedes the following Egyptian standards: 1. E.S. no. 49-1/2005 "VEGETABLE EDIBLE OILS PART 1: SESAME SEED OIL" 2. E.S. no. 49-3/2005 "VEGETABLE EDIBLE OILS - PART 3: MAIZE OIL" 3. E.S. no. 49-5/2005 "VEGETABLE EDIBLE OILS - PART 5: ARACHIS OIL" 4. E.S. no. 49-6/2005 "VEGETABLE EDIBLE OILS - PART 6: SOYA BEAN OIL" 5. E.S. no. 49-7/2005 "VEGETABLE EDIBLE OILS - PART 7: SUNFLOWERSEED OIL" 6. E.S. no. 49-8/2005 " VEGETABLE EDIBLE OILS PART 8: COTTONSEED OIL" 7. E.S. no. 5108/2006 "Safflower seed oil-high oleic acid" 8. E.S. no. 1685/2005 "REFINED EDIBLE LOW ERUCIC ACID RAPESEED OIL" 9. E.S. no. 2099/2005 "SAFFLOWERSEED OIL" 10. E.S. no. 2100/2005 "MUSTARDSEED OIL" 11. E.S. no. 2249/2005 "EDIBLE PALM STEARIN" 12. E.S. no. 1706/2005 "EDIBLE PALM OLEIN" 13. E.S. no. 1520/2005 "EDIBLE PALM OIL" 14. E.S. no. 1615/2015 "EDIBLE COCONUT OIL" 15. E.S. no. 1632/2015 "EDIBLE PALM KERNEL OIL" 16. E.S. no. 1672/2007 "COTTONSEED OIL SECOND GRADE" 17. E.S. no. 2098/2006 "Edible grape seed oil" 18. E.S. no. 2101/2006 "Edible babassu oil" 19. E.S. no. 5107/2006 "Sunflower seed oil-high oleic" 20. E.S. no. 5109/2006 "Edible palm superolein" 21. E.S. no. 4141/2008 "Flavoured liquid vegetable Oil" This standard specifies the essential requirements for vegetable oils described in Section 2.1 of this Standard which is  concerned with the definition  and presented in a state for human consumption. </t>
  </si>
  <si>
    <t xml:space="preserve"> HS codes: 1514  1513  1515  1512 </t>
  </si>
  <si>
    <t>G/SPS/N/RUS/99</t>
  </si>
  <si>
    <t>Letter of Federal Service for Veterinary and Phytosanitary Surveillance No. FS-NV-8/12674 as of 24 July 2015</t>
  </si>
  <si>
    <t xml:space="preserve">This letter allows imports of poultry meat and all poultry products  not heat treated  feeds and feed additives for poultry  used equipment for keeping  slaughter and birds butchering from all the territory of Hungary to the territory of the Russian Federation. Moreover  in addition to the mentioned products it is allowed to import the live poultry and hatching eggs from Békés county (Hungary). </t>
  </si>
  <si>
    <t>Poultry meat and all poultry products  feeds and feed additives for poultry  used equipment for keeping  slaughter and birds butchering  live poultry and hatching eggs</t>
  </si>
  <si>
    <t xml:space="preserve"> HS codes: 0105  0407  0207  0408 </t>
  </si>
  <si>
    <t>Animal feed  Animal health  Feed additives  Food safety  Human health  Pest or Disease free Regions</t>
  </si>
  <si>
    <t>G/SPS/N/JOR/33/Add.1</t>
  </si>
  <si>
    <t>Live poultry (HS Code: 0105)  and poultry products including poultry meat (HS Code: 0207)</t>
  </si>
  <si>
    <t xml:space="preserve"> HS codes: 0105  0207 </t>
  </si>
  <si>
    <t>G/SPS/N/JPN/427</t>
  </si>
  <si>
    <t>(1) To designate 25-Hydroxycholecalciferol as a feed additive and establish the standards of specifications  etc. of this material  (2) To extend the target category of Monensin sodium as approved feed additives to weaned calf up to around three months old (30g/ton feed)  (3) To add an approved manufacturing process for Avilamycin as feed additives.</t>
  </si>
  <si>
    <t>25-Hydroxycholecalciferol  Monensin sodium and Avilamycin as feed additives</t>
  </si>
  <si>
    <t>G/SPS/N/PHL/307</t>
  </si>
  <si>
    <t>Final Draft Philippine National Standard (PNS) on the Code of Hygienic Practice for Coconut Sap Sugar</t>
  </si>
  <si>
    <t>This code provides essential principles of food safety applicable to primary production  post-harvest  transport operations  and primary processing of coconut sap sugar.</t>
  </si>
  <si>
    <t>HS Code: 170199</t>
  </si>
  <si>
    <t xml:space="preserve"> HS codes: 170199 </t>
  </si>
  <si>
    <t>G/SPS/N/EU/143</t>
  </si>
  <si>
    <t>Draft Commission Implementing Regulation adopting a list of invasive alien species of Union concern pursuant to Regulation (EU) No 1143/2014 of the European Parliament and of the Council</t>
  </si>
  <si>
    <t>The proposed draft Regulation is a new legislative act which adopts the list of Invasive Alien Species of Union concern in implementation of the Regulation (EU) No 1143/2014 of the European Parliament and of the Council on the prevention and management of the introduction and spread of invasive alien species.</t>
  </si>
  <si>
    <t xml:space="preserve"> HS codes: 051191  12099  030624  040700  010619  010639  03019  030629  120930  060290 </t>
  </si>
  <si>
    <t>Invasive species  Pests  Plant health  Territory protection</t>
  </si>
  <si>
    <t>G/SPS/N/NZL/444/Add.2</t>
  </si>
  <si>
    <t>Turkey meat and meat products</t>
  </si>
  <si>
    <t>G/SPS/N/KOR/508/Add.1</t>
  </si>
  <si>
    <t>Feed</t>
  </si>
  <si>
    <t>G/SPS/N/TPKM/349/Add.1</t>
  </si>
  <si>
    <t>Pork fat</t>
  </si>
  <si>
    <t xml:space="preserve"> HS codes: 1501 </t>
  </si>
  <si>
    <t>G/SPS/N/JPN/425</t>
  </si>
  <si>
    <t>Amendments to the Enforcement Ordinance of the Standards of Feed and Feed Additives (Amendments of agricultural chemical residue standards)</t>
  </si>
  <si>
    <t>Proposal for the establishment of the maximum residue limits (MRLs) for an agricultural chemical for feed (Imazapic).  Commodity (for feed) Proposed MRL(mg/kg) Wheat 0.05 Maize 0.01 Soybean 0.5 Soybean meal 0.5  Hay 3  Note) The MRLs are established for the parent compound only. Hay includes hay and fodder (dry)  straw  forage (green) and silage. The MRL is set as 90% dry matter base.</t>
  </si>
  <si>
    <t>Wheat (HS Code: 10.01)  Maize (HS Code: 10.05)  Soybean (HS Code: 12.01)  Soybean meal (HS Code: 23.04)  Straw and forage of cereal grains and grasses  legume forage (alfalfa  clover  etc.) and other forage products (HS Codes: 12.13  12.14) for feed</t>
  </si>
  <si>
    <t xml:space="preserve"> HS codes: 1214  1005  1201  2304  1001  1213 </t>
  </si>
  <si>
    <t>G/SPS/N/JPN/426</t>
  </si>
  <si>
    <t>Proposal for the establishment of the maximum residue limits (MRLs) for an agricultural chemical for feed (Imazapyr).  Commodity (for feed) Proposed MRL(mg/kg) Wheat 0.05 Maize 0.05 Soybean 5 Soybean meal 7  Hay 30  Note) The MRLs are established for the parent compound only. Hay includes hay and fodder (dry)  straw  forage (green) and silage. The MRL is set as 90% dry matter base.</t>
  </si>
  <si>
    <t xml:space="preserve"> HS codes: 1213  1001  2304  1201  1005  1214 </t>
  </si>
  <si>
    <t>G/SPS/N/RUS/96</t>
  </si>
  <si>
    <t>Letter of the Federal Service for Veterinary and Phytosanitary Surveillance No. FS-SD-8/9242 as of 3 June 2015 Letter of the Federal Service for Veterinary and Phytosanitary Surveillance No. FS-SD-8/9245 as of 3 June 2015</t>
  </si>
  <si>
    <t>These documents introduce a temporary restriction on import of fish and marine products from Latvia and Estonia to the territory of the Russian Federation. It was a result of inspections.</t>
  </si>
  <si>
    <t>HS Code(s): 0301  0302  0303  0304  0305  0306  0307  1603  1604  1605  2301</t>
  </si>
  <si>
    <t xml:space="preserve"> HS codes: 0302  0307  0306  0301  0303  0305  0304  1604  1603  2301  1605 </t>
  </si>
  <si>
    <t>Food safety  Human health  Pest or Disease free Regions</t>
  </si>
  <si>
    <t>G/SPS/N/USA/2699/Add.1</t>
  </si>
  <si>
    <t>Beef</t>
  </si>
  <si>
    <t>G/SPS/N/USA/2617/Add.1</t>
  </si>
  <si>
    <t>G/SPS/N/ARG/181/Add.1</t>
  </si>
  <si>
    <t>Animales vivos  su material reproductivo y derivados de origen animal  así como de mercaderías que los contengan</t>
  </si>
  <si>
    <t xml:space="preserve"> HS codes: 0102  0511  0201 </t>
  </si>
  <si>
    <t>G/SPS/N/QAT/58</t>
  </si>
  <si>
    <t>Infant Formula</t>
  </si>
  <si>
    <t>This draft technical regulation applies to infant formula as a powder or liquid in order to use in the special nutritional medical purposes for infants after birth to 12 months.</t>
  </si>
  <si>
    <t>Infant formula (ICS Code: 67.230)</t>
  </si>
  <si>
    <t>G/SPS/N/QAT/57</t>
  </si>
  <si>
    <t>Infant Formula for Special Medical Purposes</t>
  </si>
  <si>
    <t>This draft technical regulation applies to infant formula for special medical purposes as a powder or liquid in order to use in the special nutritional medical purposes for infants because of disease  physiological disorder or medical condition after birth to 12 months.</t>
  </si>
  <si>
    <t>Infant ormula for special medical purposes (ICS Code: 67.230)</t>
  </si>
  <si>
    <t>G/SPS/N/QAT/56</t>
  </si>
  <si>
    <t>Date paste</t>
  </si>
  <si>
    <t>This draft technical regulation applies to date paste  which is suitable for human consumption.</t>
  </si>
  <si>
    <t>Date paste (ICS Code: 67.080)</t>
  </si>
  <si>
    <t>G/SPS/N/EU/141</t>
  </si>
  <si>
    <t>Commission Implementing Regulation (EU) 2015/1012 of 23 June 2015 amending Annex I to Regulation (EC) No 669/2009 implementing Regulation (EC) No 882/2004 of the European Parliament and of the Council as regards the increased level of official controls on imports of certain feed and food of non-animal origin (Text with EEA relevance)</t>
  </si>
  <si>
    <t>The Regulation reviews the list of imports of feed and food of non-animal origin which are subject to an increased level of official controls. The changes concern the de-listing of beans with pods from Kenya.</t>
  </si>
  <si>
    <t>HS Code(s): ex 07049090  ex 07081000  ex 07082000  07096010  07093000  ex 07094000  07096010  ex 07096099  ex 07099990  ex 07102200  07108051  ex 07108059  ex 07108095  080211  080212  08025100  08025200  08061010  080620  08101000  ex 08109020  08131000  0902  09042110  09042190  ex 09042200  09081100  09081200  091050  ex 11063090  12024100  12024200  12074090  ex 12077000  ex 12119086  ex 14049000  20081110  20081191  20081196  20081198  20085061  ex 20089999  3507</t>
  </si>
  <si>
    <t xml:space="preserve"> HS codes: 070490  070960  090810  070990  071022  1202  200850  081010  090420  140490  0902  071080  070930  20081  121190  080212  3507  070940  070820  080250  070810  120740  110630  081310  081090  71022  080610  080211  080620 </t>
  </si>
  <si>
    <t>G/SPS/N/PHL/264/Add.1</t>
  </si>
  <si>
    <t xml:space="preserve"> HS codes: 05119  0407  0105  0207 </t>
  </si>
  <si>
    <t>G/SPS/N/JPN/423</t>
  </si>
  <si>
    <t xml:space="preserve"> Revision of the Standards and Specifications for Foods and Food Additives under the Food Sanitation Act (revision of agricultural chemical residue standards). </t>
  </si>
  <si>
    <t xml:space="preserve">Proposed maximum residue limits (MRLs) for the following agricultural chemical. Pesticide: Quinclorac </t>
  </si>
  <si>
    <t>- Meat and edible meat offal (HS: 02.01  02.02  02.03  02.04  02.05  02.06  02.07  02.08 and 02.09) - Dairy produce  birds' eggs and natural honey (HS: 04.01  04.07 and 04.08) - Products of animal origin (HS: 05.04) - Edible fruits and nuts  peel of citru</t>
  </si>
  <si>
    <t xml:space="preserve"> HS codes: 1003  0904  1007  1204  1501  0209  0910  1006  1212  1207  0504  1502  0401  0206  0204  0906  0814  0408  0905  0208  1001  0205  0207  0203  0407  1506  0909  1008  1004  0907  0908  1205 </t>
  </si>
  <si>
    <t>G/SPS/N/JPN/424</t>
  </si>
  <si>
    <t>Revision of the Standards and Specifications for Foods and Food Additives under the Food Sanitation Act (revision of agricultural chemical residue standards).</t>
  </si>
  <si>
    <t>Proposed maximum residue limits (MRLs) for the following agricultural chemical.  Veterinary drug: Propetamphos.</t>
  </si>
  <si>
    <t>- Meat and edible meat offal (HS: 02.01  02.02  02.04  02.05  02.06 and 02.08) - Dairy produce  birds' eggs and natural honey (HS: 04.01) - Products of animal origin (HS: 05.04) - Animal or vegetable fats and oils (HS: 15.02 and 15.06)</t>
  </si>
  <si>
    <t xml:space="preserve"> HS codes: 1506  0205  0204  0208  0206  0401  0201  0202  0504  1502 </t>
  </si>
  <si>
    <t>G/SPS/N/JPN/421</t>
  </si>
  <si>
    <t xml:space="preserve">Proposed maximum residue limits (MRLs) for the following agricultural chemical. Pesticide: Mevinphos </t>
  </si>
  <si>
    <t>- Meat and edible meat offal (HS: 02.01  02.02  02.03  02.04  02.05  02.06 and 02.08) - Dairy produce  birds' eggs and natural honey (HS: 04.01) - Products of animal origin (HS: 05.04) - Edible vegetables and certain roots and tubers (HS: 07.02  07.03  07</t>
  </si>
  <si>
    <t xml:space="preserve"> HS codes: 0710  0806  0809  0904  0808  0903  0803  0804  0708  0807  0709  0702  0705  0714  0706  0713  1501  0910  1212  1502  0703  0504  0704  0802  0401  0206  0203  0801  0205  0204  0208  0906  0814  0905  0707  0805  0811  0201  0202  0908  0909  0907  1506  0810 </t>
  </si>
  <si>
    <t>G/SPS/N/JPN/422</t>
  </si>
  <si>
    <t xml:space="preserve">Proposed maximum residue limits (MRLs) for the following agricultural chemical.  Pesticide: Propachlor </t>
  </si>
  <si>
    <t>- Meat and edible meat offal (HS: 02.01  02.02  02.03  02.04  02.05  02.06  02.07  02.08 and 02.09) - Dairy produce  birds' eggs and natural honey (HS: 04.01  04.07 and 04.08) - Products of animal origin (HS: 05.04) - Edible vegetables and certain roots a</t>
  </si>
  <si>
    <t xml:space="preserve"> HS codes: 0907  1506  1004  0909  0908  1008  0202  0201  0207  1002  0407  1001  0905  0408  0814  0906  0208  0204  0205  0203  0206  0401  0504  0704  0703  1502  1006  0910  0209  1501  0706  0709  0903  1005  0904  1007  1003  0710 </t>
  </si>
  <si>
    <t>G/SPS/N/EU/134</t>
  </si>
  <si>
    <t>COMMISSION IMPLEMENTING REGULATION (EU) No. 2015/897 of 11 June 2015 concerning the authorisation of thiamine hydrochloride and thiamine mononitrate as a feed additive for all animal species</t>
  </si>
  <si>
    <t>The legislative measure re-authorizes a feed additive already present in the market allowing it to a new use in water for drinking.</t>
  </si>
  <si>
    <t>G/SPS/N/EU/135</t>
  </si>
  <si>
    <t>Proposal for a Regulation amending Annex II to Regulation (EC) No.183/2005 of the European Parliament and of the Council as regards the dioxin testing of oils  fat and products derived thereof. (Text with EEA relevance)</t>
  </si>
  <si>
    <t>The aim of the proposal is to set out a specific provision in order to clarify the responsibility for the dioxin testing of oils  fats and products derived imported from third Countries in order to assure that those products have the same safety level of those produced in the Union.</t>
  </si>
  <si>
    <t>Animal feed  Equivalence  Feed additives  Food safety  Human health</t>
  </si>
  <si>
    <t>G/SPS/N/SAU/165</t>
  </si>
  <si>
    <t>The Kingdom of Saudi Arabia/The Cooperation Council for the Arab States of the Gulf Draft Technical Regulation for: "Biscuits"</t>
  </si>
  <si>
    <t>This draft technical regulation applies to the requirements of all biscuits and wafers except that for special nutritional purposes  including the labelling requirements and method of testing.</t>
  </si>
  <si>
    <t>G/SPS/N/SAU/162</t>
  </si>
  <si>
    <t>The Kingdom of Saudi Arabia/The Cooperation Council for the Arab States of the Gulf Draft Technical Regulation for: "Infant Formula for Special Medical Purposes"</t>
  </si>
  <si>
    <t>This draft technical regulation applies to Infant Formula for Special Medical Purposes as a powder or liquid in order to use in the nutritional purposes for infants because of disease  physiological disorder or medical condition after birth to 12 months.</t>
  </si>
  <si>
    <t>Infant Formula for Special Medical Purposes (ICS Code: 67.230)</t>
  </si>
  <si>
    <t>G/SPS/N/SAU/163</t>
  </si>
  <si>
    <t xml:space="preserve">The Kingdom of Saudi Arabia/The Cooperation Council for the Arab States of the Gulf Draft Technical Regulation for: "Date paste" </t>
  </si>
  <si>
    <t>G/SPS/N/PHL/190/Add.1</t>
  </si>
  <si>
    <t>Live poultry (HS Code 0105)  poultry meat (HS Code 0207)  day-old chicks (HS Code 0105.11)  eggs (HS Code 0407) and semen (HS Code 0511.99)</t>
  </si>
  <si>
    <t xml:space="preserve"> HS codes: 051199  0207  0105  010511  0407 </t>
  </si>
  <si>
    <t>G/SPS/N/PHL/260/Add.1</t>
  </si>
  <si>
    <t>HS Code(s): 0105  0207  0407  05119.</t>
  </si>
  <si>
    <t>G/SPS/N/PHL/302</t>
  </si>
  <si>
    <t>Final Draft Philippine National Standard (PNS) on the Code of Practice for Radiation Processing of Food</t>
  </si>
  <si>
    <t>This Code of Practice for Radiation Processing provides guidance for the relevant stakeholders on the sanitary and phytosanitary aspects of radiation processing. This Code covers all food processed by gamma rays  X-rays or accelerated electrons for the purpose of  among other things  control of foodborne pathogens  reduction of microbial load  control of quarantine pest  inhibition of the germination of root crops  and extension of shelf life.</t>
  </si>
  <si>
    <t>HS Code(s): 02  03  07  08  0901  1801</t>
  </si>
  <si>
    <t xml:space="preserve"> HS codes: 1801  02  03  08  07  0901 </t>
  </si>
  <si>
    <t>G/SPS/N/UKR/97/Add.1</t>
  </si>
  <si>
    <t>Live pigs  feed produced from pork products (except heat-treated feed for unproductive animals and poultry)</t>
  </si>
  <si>
    <t xml:space="preserve"> HS codes: 0103  2309 </t>
  </si>
  <si>
    <t>G/SPS/N/KOR/508</t>
  </si>
  <si>
    <t>Proposed amendments to standards and specifications of feed  etc.</t>
  </si>
  <si>
    <t>The Republic of Korea is proposing to amend the "standards and specifications of feed  etc.": 1. Detailed material description on food  etc. available ingredient for feeding  2. Set-up on suggested period of circulation of feeds type  3. Standard supplementation on subdivide the feed's title  4. Standard on toxic substance of feed controlled that accord with international standards and then strengthen safety control. - Correction on heavy metal  fungal toxin  tolerance limit for pesticide residue.</t>
  </si>
  <si>
    <t>Animal feed  Animal health  Contaminants  Fungi  Heavy metals  Pesticides  Toxins</t>
  </si>
  <si>
    <t>G/SPS/N/PHL/266/Add.1</t>
  </si>
  <si>
    <t xml:space="preserve"> HS codes: 0105  051199  0207  0407 </t>
  </si>
  <si>
    <t>G/SPS/N/PHL/298</t>
  </si>
  <si>
    <t>Final Draft Philippine National Standards (PNS) for the Pesticide Residues in Rice: Maximum Residue Limits (MRLS)</t>
  </si>
  <si>
    <t>This standard provides for the Maximum Residue Limits (MRLs) for pesticide residues in rice.</t>
  </si>
  <si>
    <t>HS Code(s): 1006</t>
  </si>
  <si>
    <t>G/SPS/N/BRA/399/Rev.1/Add.1</t>
  </si>
  <si>
    <t>Coffee beans - HS Code: 09011</t>
  </si>
  <si>
    <t>G/SPS/N/JPN/415</t>
  </si>
  <si>
    <t>Proposed maximum residue limits (MRLs) for the following agricultural chemical: Pesticide: Cymoxanil.</t>
  </si>
  <si>
    <t>- Dairy produce  birds' eggs and natural honey (HS Code: 04.01) - Edible vegetables and certain roots and tubers (HS Codes: 07.01  07.02  07.03  07.04  07.05  07.06  07.07  07.08  07.09  07.10  07.13 and 07.14) - Edible fruits and nuts  peel of citrus/mel</t>
  </si>
  <si>
    <t xml:space="preserve"> HS codes: 0707  1007  0907  0807  0704  0804  1204  1207  0713  1002  1202  0910  0802  0814  0714  0902  0908  1008  1006  0803  0709  0703  0708  0808  0806  0706  0401  1004  1205  1206  0702  0905  0809  0903  1003  0710  0705  0805  0811  0904  0909  0901  0801  1201  1001  1210  0810  1801  0906  1005  0701  1212 </t>
  </si>
  <si>
    <t>G/SPS/N/JPN/416</t>
  </si>
  <si>
    <t>Proposed maximum residue limits (MRLs) for the following agricultural chemical: Pesticide: Fenothiocarb.</t>
  </si>
  <si>
    <t>- Edible vegetables and certain roots and tubers (HS Codes: 07.09 and 07.10) - Edible fruits and nuts  peel of citrus/melons (HS Codes: 08.01  08.02  08.03  08.04  08.05  08.06  08.07  08.08  08.09  08.10  08.11 and 08.14) - Coffee  tea  mate and spices (</t>
  </si>
  <si>
    <t xml:space="preserve"> HS codes: 0906  0810  0801  0811  0909  0709  0805  0904  0710  0905  1206  0809  1205  0806  0808  0803  0908  0802  0814  0910  1207  1204  0804  0907  0807 </t>
  </si>
  <si>
    <t>G/SPS/N/JPN/417</t>
  </si>
  <si>
    <t>Proposed maximum residue limits (MRLs) for the following agricultural chemical: Veterinary drug: Ketoprofen.</t>
  </si>
  <si>
    <t xml:space="preserve">- Meat and edible meat offal (HS Codes: 02.01  02.02  02.03  02.04  02.05  02.06 and 02.08) - Dairy produce  birds' eggs and natural honey (HS Code: 04.01) - Products of animal origin (HS Code: 05.04) - Animal or vegetable fats and oils (HS Codes: 15.01  </t>
  </si>
  <si>
    <t xml:space="preserve"> HS codes: 0208  1502  0202  0205  0203  0504  0204  0401  0206  1501  1506  0201 </t>
  </si>
  <si>
    <t>G/SPS/N/PHL/291</t>
  </si>
  <si>
    <t>Final Draft Philippine National Standards (PNS) for Chevon Cuts</t>
  </si>
  <si>
    <t>This document provides standards for establishments conducting goat meat fabrication intended for food trade.</t>
  </si>
  <si>
    <t>HS Code: 020450</t>
  </si>
  <si>
    <t xml:space="preserve"> HS codes: 05119  020450  0105  0207  0407 </t>
  </si>
  <si>
    <t>Animal health  Food safety  Human health  Pest or Disease free Regions</t>
  </si>
  <si>
    <t>G/SPS/N/ECU/159/Add.1</t>
  </si>
  <si>
    <t>Animales vivos (aves adultas vivas  material genético avícola (pollitos y huevos fértiles)) productos y subproductos</t>
  </si>
  <si>
    <t xml:space="preserve"> HS codes: 010511  01063  0105  0207  0407 </t>
  </si>
  <si>
    <t>G/SPS/N/ECU/160</t>
  </si>
  <si>
    <t>G/SPS/N/AUS/358</t>
  </si>
  <si>
    <t>Proposal: M1012 Amendments to Standard 1.4.2</t>
  </si>
  <si>
    <t>This Proposal seeks to amend the Australia New Zealand Food Standards Code to consider introducing certain temporary maximum residue limits (MRLs) for residues of agricultural and veterinary chemicals that may occur in food  in order to align standards with the Australian Pesticides and Veterinary Medicines Authority (APVMA) temporary MRLs for coumatetralyl and warfarin in pork commodities. The document includes a summary of the scientific risk assessment and risk assessment methodology.</t>
  </si>
  <si>
    <t>G/SPS/N/JPN/387/Rev.1</t>
  </si>
  <si>
    <t xml:space="preserve">Proposed maximum residue limits (MRLs) for the following agricultural chemicals - Pesticide: Phosalone Proposed MRLs for Phosalone in the following commodities were amended to correct errors in the original notification G/SPS/N/JPN/387 circulated on 18 December 2014. - Loquat - Peach Proposed MRLs for Phosalone in the following commodities were added to correct errors in the original notification G/SPS/N/JPN/387 circulated on 18 December 2014. Those MRLs will remain unchanged from the current ones. - Other spices  dried (limited to fruits) - Other spices  dried (limited to seeds) - Other spices  dried (limited to roots or rhizome) </t>
  </si>
  <si>
    <t xml:space="preserve"> HS codes: 1207  1206  0905  0811  1212  0904  0814  1205  0906  0803  0805  0714  0903  0703  0802  0809  0806  0701  0908  0702  0801  0705  0910  0902  0709  0706  0909  0713  0708  0810  0710  0808  0807  0907  0707  0804  1204  0704 </t>
  </si>
  <si>
    <t>G/SPS/N/JPN/408</t>
  </si>
  <si>
    <t>Proposed maximum residue limits (MRLs) for the following agricultural chemical - Pesticide: Fluthiacet-methyl</t>
  </si>
  <si>
    <t>- Edible vegetables and certain roots and tubers (HS Codes: 07.09 and 07.10) - Cereals (HS Codes: 10.02  10.03  10.04  10.05  10.07 and 10.08) - Oleaginous fruits  miscellaneous grains  seeds and fruits (HS Code: 12.01)</t>
  </si>
  <si>
    <t xml:space="preserve"> HS codes: 1005  1004  1008  1003  0709  1201  1002  0710  1007 </t>
  </si>
  <si>
    <t>G/SPS/N/JPN/409</t>
  </si>
  <si>
    <t>Proposed maximum residue limits (MRLs) for the following agricultural chemical - Pesticide: Quizalofop-ethyl  Quizalofop-P-tefuryl</t>
  </si>
  <si>
    <t>- Meat and edible meat offal (HS Codes: 02.01  02.02  02.03  02.04  02.05  02.06  02.07  02.08 and 02.09) - Fish and crustaceans  molluscs and other aquatic invertebrates (HS Codes: 03.02  03.03 and 03.04) - Dairy produce  birds eggs and natural honey (HS</t>
  </si>
  <si>
    <t xml:space="preserve"> HS codes: 0704  0804  0304  0807  0907  0707  0407  1204  0710  0204  0809  0703  0906  0706  0303  0814  0701  1207  1506  0205  1502  0713  0910  0806  0401  0209  0302  0714  0702  1201  0705  0909  0708  0408  0905  0201  1206  0203  0504  0208  0811  0709  0903  0808  0206  0904  1205  1501  1202  0908  0810  0202  1212  0207 </t>
  </si>
  <si>
    <t>G/SPS/N/JPN/407</t>
  </si>
  <si>
    <t>Proposed maximum residue limits (MRLs) for the following agricultural chemical - Pesticide: Benzyladenine (Benzylaminopurine)</t>
  </si>
  <si>
    <t xml:space="preserve"> HS codes: 1204  0707  0807  0907  1007  0804  0704  0702  0910  0714  0806  0713  0902  1207  0703  0701  0803  0801  0710  0805  0901  1206  0809  1006  0814  0906  0706  1001  0905  0708  0705  0909  1002  0808  1201  0709  0811  0904  0802  0903  1205  1003  1801  1202  0908  1005  1004  1008  1212  0810  1210 </t>
  </si>
  <si>
    <t>G/SPS/N/JPN/406</t>
  </si>
  <si>
    <t xml:space="preserve">Proposed maximum residue limits (MRLs) for the following agricultural chemical - Pesticide: Asulam </t>
  </si>
  <si>
    <t>- Meat and edible meat offal (HS Codes: 02.01  02.02  02.03  02.04  02.05  02.06 and 02.08) - Dairy produce  birds eggs and natural honey (HS Code: 04.01) - Products of animal origin (HS Code: 05.04) - Edible vegetables and certain roots and tubers (HS Co</t>
  </si>
  <si>
    <t xml:space="preserve"> HS codes: 1210  0810  1212  1008  1005  1004  0908  1202  0202  1801  1003  1205  1501  0206  0903  0802  0709  0904  1201  0808  1002  0909  0705  0708  0905  0208  1001  0204  0811  0201  0504  1506  0205  1207  0706  0906  0401  1006  0809  1206  0901  0805  0710  0203  0803  0801  0703  0701  0902  1502  0713  0806  0814  0702  0714  0910  1007  0704  0804  0807  0907  0707  1204 </t>
  </si>
  <si>
    <t>G/SPS/N/JPN/411</t>
  </si>
  <si>
    <t>Proposed maximum residue limits (MRLs) for the following agricultural chemical - Veterinary drug: Triclabendazole</t>
  </si>
  <si>
    <t>- Meat and edible meat offal (HS Codes: 02.01  02.02  02.03  02.04  02.05  02.06 and 02.08) - Products of animal origin (HS Code: 05.04) - Animal or vegetable fats and oils (HS Codes: 15.01  15.02 and 15.06)</t>
  </si>
  <si>
    <t xml:space="preserve"> HS codes: 0203  0205  1506  1502  0204  0201  0504  0208  0206  1501  0202 </t>
  </si>
  <si>
    <t>G/SPS/N/JPN/410</t>
  </si>
  <si>
    <t>Proposed maximum residue limits (MRLs) for the following agricultural chemical - Pesticide/Veterinary drug: Teflubenzuron</t>
  </si>
  <si>
    <t xml:space="preserve"> HS codes: 1210  1202  1212  0810  1005  1004  1801  1008  0908  1205  0903  1003  0805  1001  0802  0905  0709  0811  0904  0705  1201  0909  0708  0808  1002  0714  0910  0702  0713  0814  0806  0902  0906  1207  1006  0706  0701  0703  0809  1206  0901  0803  0801  0710  1204  0804  0707  0907  0807  0704  1007 </t>
  </si>
  <si>
    <t>G/SPS/N/USA/2511/Add.2</t>
  </si>
  <si>
    <t>Meat  poultry  or processed egg products</t>
  </si>
  <si>
    <t xml:space="preserve"> HS codes: 0408  0407  0207 </t>
  </si>
  <si>
    <t>Equivalence  Food safety  Human health</t>
  </si>
  <si>
    <t>G/SPS/N/SAU/157</t>
  </si>
  <si>
    <t>The Kingdom of Saudi Arabia/The Cooperation Council for the Arab States of the Gulf Draft Technical Regulation for: "Milk Powders And Cream Powder"</t>
  </si>
  <si>
    <t>This technical regulation applies to milk powders and cream powder (whole milk  partly skimmed  skimmed) for direct consumption or use in manufacturing.</t>
  </si>
  <si>
    <t>Milk powders and cream powder (ICS Code: 67.100)</t>
  </si>
  <si>
    <t>G/SPS/N/PER/542/Add.3</t>
  </si>
  <si>
    <t>Código SA: 0901.11.10.00  Semillas de café</t>
  </si>
  <si>
    <t xml:space="preserve"> HS codes: 090111 </t>
  </si>
  <si>
    <t>G/SPS/N/PER/493/Add.1</t>
  </si>
  <si>
    <t>Códigos SA: 0901.11.10.00  Semillas de café</t>
  </si>
  <si>
    <t>G/SPS/N/PER/492/Add.1</t>
  </si>
  <si>
    <t>G/SPS/N/EGY/61/Add.1</t>
  </si>
  <si>
    <t>G/SPS/N/EGY/60/Add.1</t>
  </si>
  <si>
    <t>G/SPS/N/EGY/59/Add.1</t>
  </si>
  <si>
    <t>G/SPS/N/PER/491/Add.1</t>
  </si>
  <si>
    <t>G/SPS/N/BRA/399/Rev.1</t>
  </si>
  <si>
    <t>Normative Instruction SDA/MAPA No.  6  issued on 29 April 2015</t>
  </si>
  <si>
    <t>The notified document establishes the phytosanitary requirements for import of coffee beans (Coffea arabica L.) produced in Peru  as a result of pest risk analysis.</t>
  </si>
  <si>
    <t>Coffee beans - HS Code:  09011</t>
  </si>
  <si>
    <t xml:space="preserve"> HS codes: 09011  9011 </t>
  </si>
  <si>
    <t>G/SPS/N/MEX/230/Add.2</t>
  </si>
  <si>
    <t>Productos químicos  farmacéuticos y bilógicos  para uso en animales  Animales  bienes de origen animal o alimenticio para consumo de animales  Especies acuáticas  sus productos y subproductos  entre otras</t>
  </si>
  <si>
    <t xml:space="preserve"> HS codes: 3004  2309  03 </t>
  </si>
  <si>
    <t>Animal health  Plant protection  Protect territory from other damage from pests</t>
  </si>
  <si>
    <t>G/SPS/N/PER/605</t>
  </si>
  <si>
    <t xml:space="preserve"> HS codes: 100620  10 </t>
  </si>
  <si>
    <t>G/SPS/N/PER/604</t>
  </si>
  <si>
    <t xml:space="preserve"> HS codes: 10  100610 </t>
  </si>
  <si>
    <t>G/SPS/N/QAT/55</t>
  </si>
  <si>
    <t>Milk powders and cream powder</t>
  </si>
  <si>
    <t>This draft technical regulation concerns milk powders and cream powder (whole milk  partly skimmed  skimmed) for direct consumption or use in manufacturing.</t>
  </si>
  <si>
    <t>G/SPS/N/USA/2759</t>
  </si>
  <si>
    <t>Notice of Availability: Pest Risk Analyses: Importation of Fresh Pitahaya from Israel into the Continental U.S. (Docket No. APHIS-2015-0012)</t>
  </si>
  <si>
    <t>The Animal and Plant Health Inspection Service (APHIS) is advising the public that we have prepared a pest risk analysis that evaluates the risks associated with importation of fresh pitahaya fruit from Israel into the continental United States. Based on the analysis  we have determined that the application of one or more designated phytosanitary measures will be sufficient to mitigate the risks of introducing or disseminating plant pests or noxious weeds via the importation of fresh pitahaya from Israel. We are making the pest risk analysis available to the public for review and comment.  Federal Register Vol. 80  No. 81  Tuesday  28 April 2015  page 23497</t>
  </si>
  <si>
    <t>G/SPS/N/USA/2243/Add.1</t>
  </si>
  <si>
    <t>Commercial shipments of rice (Oryza sativa or Oryza spp.) from countries where Khapra beetle (Trogoderma granarium Everts) is found</t>
  </si>
  <si>
    <t>G/SPS/N/PHL/283</t>
  </si>
  <si>
    <t>Final Draft Philippine National Standards (PNS) on the Code of Practice for the Reduction of Hydrocyanic Acid (HCN) in Cassava and Cassava Products</t>
  </si>
  <si>
    <t>This COP intends to provide national and local authorities  producers  traders  processors and other relevant stakeholders with guidance on how to produce and process cassava roots and its products such as grates  chips  granules  flour and starch with safe concentrations of residual cyanogenic compounds.</t>
  </si>
  <si>
    <t>HS Codes: 0714.10  1106.20  1108.14</t>
  </si>
  <si>
    <t xml:space="preserve"> HS codes: 110814  110620  071410 </t>
  </si>
  <si>
    <t>G/SPS/N/PHL/282</t>
  </si>
  <si>
    <t>Final Draft Philippine National Standards (PNS) on the Code of Hygienic Practice for Spices and Dried Aromatic Herbs</t>
  </si>
  <si>
    <t>This Code applies to spices and dried aromatic herbs - whole  broken  sliced  ground or blended. It covers the minimum requirements of hygiene for pre-harvest  harvesting  post-harvest practices (e.g. curing  bleaching  blanching  cutting  drying  cleaning  grading  packing  transportation and storage  including disinfestation and fumigation)  processing establishment  processing technology and practices (e.g. grinding  blending  freezing and freeze-drying  treatments to reduce the microbiological load)  packaging  and storage of processed products.</t>
  </si>
  <si>
    <t>HS Code(s): 071220  071290  0904  0905  0906  0907  0908  0909  0910  120750  120791</t>
  </si>
  <si>
    <t xml:space="preserve"> HS codes: 0904  0909  0908  0906  071290  071220  0910  0907  0905  120750 </t>
  </si>
  <si>
    <t>G/SPS/N/IND/103</t>
  </si>
  <si>
    <t xml:space="preserve">Food Safety and Standard (Contaminants  Toxins and Residues) Amendment Regulation  2014  dated 5 December 2014 </t>
  </si>
  <si>
    <t>The order details the requirements to be ensured for placing meat and poultry products on the Indian market.</t>
  </si>
  <si>
    <t xml:space="preserve">Requirement for placing meat and poultry products on the Indian market  </t>
  </si>
  <si>
    <t>G/SPS/N/TUR/57</t>
  </si>
  <si>
    <t>Turkish Food Codex Communiqué Amending Communiqué on Named Vegetable Oils</t>
  </si>
  <si>
    <t>The purpose of this amendment is to determine the criteria for named vegetable oils in line with Codex Alimentarius Standards  and revise the criteria for hazelnut oil.</t>
  </si>
  <si>
    <t>Named vegetable oils (arachis oil  babassu oil  coconut oil  cottonseed oil  grapeseed oil  hazelnut oil  maize oil  palm kernel oil  palm kernel olein  palm kernel stearin  palm oil  palm olein  palm stearin  palm suprolein  rapeseed oil-low erucic acid  safflower seed oil  sesame seed oil  soya bean oil  sunflower seed oil)</t>
  </si>
  <si>
    <t xml:space="preserve"> HS codes: 1513  1511  1509  1515  1508  1512  1507  1514 </t>
  </si>
  <si>
    <t>G/SPS/N/PHL/281</t>
  </si>
  <si>
    <t>Final Draft Philippine National Standards (PNS): Code of Practice for the Prevention and Reduction of Mycotoxin Contamination in Cereals</t>
  </si>
  <si>
    <t>This code of practice (COP) for the prevention and reduction of mycotoxin contamination in cereals contains on-farm and off-farm practices that would assist the farmers/producers to comply with maximum levels (MLs) of mycotoxins in cereals  particularly aflatoxins  fumonisins and deoxynivalenol (DON).</t>
  </si>
  <si>
    <t>HS Codes: 10  11  210690</t>
  </si>
  <si>
    <t xml:space="preserve"> HS codes: 11  10  210690 </t>
  </si>
  <si>
    <t>Aflatoxins  Contaminants  Food safety  Human health  Mycotoxins  Toxins</t>
  </si>
  <si>
    <t>G/SPS/N/EU/125</t>
  </si>
  <si>
    <t>Commission Implementing Regulation (EU) 2015/525 of 27 March 2015 amending Annex I to Regulation (EC) No 669/2009 implementing Regulation (EC) No 882/2004 of the European Parliament and of the Council as regards the increased level of official controls on imports of certain feed and food of non-animal origin (Text with EEA relevance)</t>
  </si>
  <si>
    <t>The Regulation reviews the list of imports of feed and food of non-animal origin which are subject to an increased level of official controls. The changes concern the inclusion in the list of almonds from Australia  pistachios from the United States of America and dried apricots from Uzbekistan.</t>
  </si>
  <si>
    <t>HS Codes: ex 07049090  ex 07081000  ex 07082000  07096010  07093000  ex 07094000  07096010  ex 07096099  ex 07099990  ex 07102200  071022  07108051  ex 07108059  ex 07108095  07133900  080211  080212  08025100  08025200  08051020  08051080  ex 08054000  08061010  080620  08101000  ex 08109020  081110  08131000  0902  090420  09042110  09042190  ex 09042200  09081100  09081200  091050  09109105  ex 11063090  12024100  12024200  12074090  ex 12077000  ex 12119086  ex 14049000  20081110  20081191  20081196  20081198  20085061  ex 20089999  3507</t>
  </si>
  <si>
    <t xml:space="preserve"> HS codes: 090810  140490  200811  080540  081010  081110  1202  080610  080510  070930  081090  090420  120740  20089  070960  080620  080250  200850  070810  3507  07102  0902  071080  070490  121190  09109  110630  070820  070990  1207  07133  08021  081310  070940 </t>
  </si>
  <si>
    <t>G/SPS/N/JPN/403</t>
  </si>
  <si>
    <t>Establishment of standards for pork (including internal organs) intended to be eaten raw.</t>
  </si>
  <si>
    <t>Meat and edible offal of swine (HS Codes: 02.03  02.06)</t>
  </si>
  <si>
    <t xml:space="preserve"> HS codes: 0206  0203 </t>
  </si>
  <si>
    <t>G/SPS/N/ARG/181</t>
  </si>
  <si>
    <t>Proyecto de Modificación de la Resolución SENASA Nº 117/2002 y sus modificatorias. Metodología para el Análisis de Riesgo de importaciones de animales vivos  su material reproductivo y derivados de origen animal  así como de mercaderías que los contengan  en relación con el riesgo de introducción en el país de EEB</t>
  </si>
  <si>
    <t>El proyecto de norma propone la modificación de la metodología para el análisis de riesgo de EEB en las importaciones de mercancías de animales vivos  su material reproductivo y derivados de origen animal  así como de mercaderías que los contengan. Para la actualización de la metodología relacionada a este manejo del riesgo se han considerado las recomendaciones emanadas de la OIE a través de los capítulos correspondientes a EEB del Código Sanitario para los Animales Terrestres  así como la información técnica y científica disponible.</t>
  </si>
  <si>
    <t>Animales vivos  su material reproductivo y derivados de origen animal  así como de mercaderías que los contengan.</t>
  </si>
  <si>
    <t>G/SPS/N/PHL/277</t>
  </si>
  <si>
    <t>Final Draft Philippine National Standards (PNS) for Veterinary drug residues in food: Maximum residue limits (MRLs)</t>
  </si>
  <si>
    <t>This draft Philippine National Standards (PNS) for Veterinary Drug Residues in Food: Maximum Residue Limits (MRLs) is an identical adaptation of the Codex Alimentarius Commission MRL 2-2012  Maximum Residue Limits for Veterinary Drugs in Food  as updated at the 35th Session of the Codex Alimentarius Commission (July 2012).</t>
  </si>
  <si>
    <t>HS Codes: 02  03  0401  0402</t>
  </si>
  <si>
    <t xml:space="preserve"> HS codes: 03  0401  0402  02 </t>
  </si>
  <si>
    <t>Animal health  Maximum residue limits (MRLs)  Veterinary drugs</t>
  </si>
  <si>
    <t>G/SPS/N/EU/123</t>
  </si>
  <si>
    <t>Commission Implementing Regulation (EU) No 2015/489 of 23 March 2015 concerning the authorisation of selenomethionine produced by Saccharomyces cerevisiae NCYC R645 as a feed additive for all animal species (Text with EEA relevance)</t>
  </si>
  <si>
    <t>The legislative measure authorises the commercialisation of a preparation of selenomethionine  an organic compound of selenium produced by Saccharomyces cerevisiae NCYC R645  as a feed additive in the category of "nutritional additives".</t>
  </si>
  <si>
    <t>G/SPS/N/USA/2484/Add.2</t>
  </si>
  <si>
    <t xml:space="preserve">Meat  poultry  and egg products </t>
  </si>
  <si>
    <t>G/SPS/N/USA/2728/Add.1</t>
  </si>
  <si>
    <t>G/SPS/N/PER/596</t>
  </si>
  <si>
    <t xml:space="preserve"> HS codes: 0406  0401  0403 </t>
  </si>
  <si>
    <t>G/SPS/N/CHL/501</t>
  </si>
  <si>
    <t xml:space="preserve"> HS codes: 0301  0307  0306 </t>
  </si>
  <si>
    <t>G/SPS/N/TUR/22/Add.1</t>
  </si>
  <si>
    <t>Animal feed  Animal health  Food safety  Human health  Traceability</t>
  </si>
  <si>
    <t>G/SPS/N/IND/98</t>
  </si>
  <si>
    <t>Veterinary Certificate for Import of Pork and Pork Products into India</t>
  </si>
  <si>
    <t>The veterinary certificate envisages sanitary requirements for import of pork and pork products into India.</t>
  </si>
  <si>
    <t>Animal diseases  Animal health  Contaminants  Foot and mouth disease  Mycotoxins  Pests  Toxins</t>
  </si>
  <si>
    <t>G/SPS/N/USA/2511/Add.1</t>
  </si>
  <si>
    <t xml:space="preserve"> HS codes: 0407  0408  0207 </t>
  </si>
  <si>
    <t>G/SPS/N/TUR/56</t>
  </si>
  <si>
    <t>Draft Communiqué on rules regarding the transhipment of consignments of animal products at entry veterinary border inspection point</t>
  </si>
  <si>
    <t>This Communiqué includes minimum and maximum periods for the transhipment of consignments from one border inspection post to another by maritime or airway  for import or transit into another country.</t>
  </si>
  <si>
    <t xml:space="preserve"> HS codes: 05  04  02  2309 </t>
  </si>
  <si>
    <t>G/SPS/N/LKA/37/Add.1</t>
  </si>
  <si>
    <t>Imported milk powder</t>
  </si>
  <si>
    <t>G/SPS/N/SAU/150</t>
  </si>
  <si>
    <t xml:space="preserve">The Kingdom of Saudi Arabia/The Cooperation Council for the Arab States of the Gulf Draft Technical Regulation for: "Peanut butter" </t>
  </si>
  <si>
    <t>This draft technical regulation applies to peanut butter suitable for direct human consumption.</t>
  </si>
  <si>
    <t>Peanut butter (ICS Code: 67.080.10)</t>
  </si>
  <si>
    <t xml:space="preserve"> HS codes: 200811 </t>
  </si>
  <si>
    <t>G/SPS/N/SAU/149</t>
  </si>
  <si>
    <t xml:space="preserve">The Kingdom of Saudi Arabia/The Cooperation Council for the Arab States of the Gulf Draft Technical Regulation for: "Dried okra"   </t>
  </si>
  <si>
    <t>This draft technical regulation applies to the basic requirements of Dried okra that is suitable for direct human consumption.</t>
  </si>
  <si>
    <t>Dried okra (ICS Code: 67.080)</t>
  </si>
  <si>
    <t xml:space="preserve"> HS codes: 071239 </t>
  </si>
  <si>
    <t>G/SPS/N/SAU/148</t>
  </si>
  <si>
    <t>The Kingdom of Saudi Arabia/The Cooperation Council for the Arab States of the Gulf Draft Technical Regulation for: "Canned Mangoes"</t>
  </si>
  <si>
    <t>This draft technical regulation applies to the requirements of mangoes that are suitable for direct human consumption.</t>
  </si>
  <si>
    <t>Canned Mangoes (ICS Code: 67.080)</t>
  </si>
  <si>
    <t xml:space="preserve"> HS codes: 200899 </t>
  </si>
  <si>
    <t>G/SPS/N/SAU/146</t>
  </si>
  <si>
    <t>The Kingdom of Saudi Arabia/The Cooperation Council for the Arab States of the Gulf Draft Technical Regulation for: "Oriental Sweets"</t>
  </si>
  <si>
    <t>This draft technical regulation applies to Oriental Sweets that are suitable for human consumption.</t>
  </si>
  <si>
    <t>Oriental Sweets (ICS Code: 67.180)</t>
  </si>
  <si>
    <t>G/SPS/N/SAU/145</t>
  </si>
  <si>
    <t>The Kingdom of Saudi Arabia/The Cooperation Council for the Arab States of the Gulf Draft Technical Regulation for: "Fresh beef  buffalo  mutton  goat and camel meat"</t>
  </si>
  <si>
    <t>This draft technical regulation applies to the basic requirements and  quality factors for fresh beef  buffalo  mutton  goat and camel meat.</t>
  </si>
  <si>
    <t>Fresh beef  buffalo  mutton  goat and camel meat (ICS Code: 67.120)</t>
  </si>
  <si>
    <t xml:space="preserve"> HS codes: 0201  0208  0204 </t>
  </si>
  <si>
    <t>G/SPS/N/SAU/144</t>
  </si>
  <si>
    <t xml:space="preserve">The Kingdom of Saudi Arabia/The Cooperation Council for the Arab States of the Gulf Draft Technical Regulation for: "Danbo Cheese" </t>
  </si>
  <si>
    <t>This draft technical regulation applies to Danbo Cheese that is suitable for human consumption.</t>
  </si>
  <si>
    <t>Danbo Cheese (ICS Code: 67.100.30)</t>
  </si>
  <si>
    <t>G/SPS/N/EGY/61</t>
  </si>
  <si>
    <t>Draft of Egyptian Standard for Cream and Prepared Creams</t>
  </si>
  <si>
    <t xml:space="preserve">The draft Egyptian Standard for cream and prepared creams complies with International Codex Standard No. 288/1976 amendment 2010 and supersedes ES No. 154-2/2005 "Natural cream" and ES No.154-4/2005 "Natural whipping cream" that has been already mandated by Ministerial Decree No. 515/2005. This standard specifies the essential requirements and descriptive criteria for cream and prepared cream for direct consumption or other manufacturing processes  which are complied with the item of definitions. </t>
  </si>
  <si>
    <t>G/SPS/N/EGY/60</t>
  </si>
  <si>
    <t>Draft of Egyptian Standard for "Canned Tuna and Bonite"</t>
  </si>
  <si>
    <t>The draft Egyptian Standard for "Descriptive Criteria For Canned Tuna and Bonite" that complies with International Codex Standard No. 70-1981  amendments 2011  2013. This draft supersedes the last version of ES No. 804/2005 that has been already mandated by Ministerial Decree No. 515/2005.</t>
  </si>
  <si>
    <t>G/SPS/N/EGY/59</t>
  </si>
  <si>
    <t>Draft of Egyptian Standard for Milk Powder and Cream Powder</t>
  </si>
  <si>
    <t xml:space="preserve">The draft of Egyptian Standard for milk powder and cream powder complies with International Codex Standard No. 207/1999  amendment 2010 and supersedes ES No. 1648/2005 "dried milk" and ES No. 154 - 3/2005 "milk and milk products" - part 3: dried cream that has been already mandated by Ministerial Decree No. 515/2005. This standard specifies  the essential requirements and descriptive criteria for milk powder and cream powder for direct consumption or other manufacturing processes  which are complied with the item of definitions. </t>
  </si>
  <si>
    <t>G/SPS/N/JPN/401</t>
  </si>
  <si>
    <t>Proposed maximum residue limits (MRLs) for the following agricultural chemical: Veterinary drug - Meloxicam</t>
  </si>
  <si>
    <t xml:space="preserve"> HS codes: 1501  0203  0202  0204  0401  1502  0208  0205  0504  1506  0206  0201 </t>
  </si>
  <si>
    <t>G/SPS/N/JPN/400</t>
  </si>
  <si>
    <t>Proposed maximum residue limits (MRLs) for the following agricultural chemical: Pesticide - Pyrifluquinazon</t>
  </si>
  <si>
    <t>- Edible vegetables and certain roots and tubers (HS Codes: 07.01  07.02  07.03  07.04  07.05  07.06  07.07  07.08  07.09  07.10 and 07.14) - Edible fruits and nuts  peel of citrus/melons (HS Codes: 08.04  08.05  08.06  08.07  08.08  08.09  08.10 08.11 an</t>
  </si>
  <si>
    <t xml:space="preserve"> HS codes: 0809  0910  0710  0811  0703  0701  0805  0806  0905  0904  0708  0808  0908  0902  0706  0702  0906  0909  0709  0705  1005  0707  0807  0907  0810  0704  0804  0814  0714 </t>
  </si>
  <si>
    <t>G/SPS/N/JPN/399</t>
  </si>
  <si>
    <t>Proposed maximum residue limits (MRLs) for the following agricultural chemical: Pesticide - Malathion</t>
  </si>
  <si>
    <t>- Meat and edible meat offal (HS Codes: 02.01  02.02  02.03  02.04  02.05  02.06  02.07  02.08 and 02.09) - Fish and crustaceans  molluscs and other aquatic invertebrates (HS Codes: 03.02  03.03  03.04 and 03.07) - Dairy produce  birds' eggs and natural h</t>
  </si>
  <si>
    <t xml:space="preserve"> HS codes: 0714  0814  0804  1204  0704  0304  1207  1001  1206  0810  0201  1006  1501  1801  1210  1201  1007  0907  0203  0407  0807  0707  0207  0307  0802  1202  1002  0903  1003  1212  1005  0705  0202  0709  0909  0302  0906  0702  0706  0401  0303  0206  0209  0204  0902  1502  0908  0808  1008  0708  0208  0408  0904  0205  0905  0806  0701  0805  1506  0703  0504  0803  0713  0811  0710  0910  1004  1205  0901  0801  0809 </t>
  </si>
  <si>
    <t>G/SPS/N/JPN/398</t>
  </si>
  <si>
    <t>Proposed maximum residue limits (MRLs) for the following agricultural chemical: Pesticide - Kresoxim-methyl</t>
  </si>
  <si>
    <t xml:space="preserve"> HS codes: 0809  0201  0905  1004  0910  0206  0710  1506  0803  0504  0703  0706  0811  0806  0805  0904  0205  0208  0708  1008  0808  0908  1502  0902  0209  0303  0401  0204  0906  0302  0909  0709  0202  0304  0705  1212  1003  0903  1002  0207  0807  0707  0203  0907  1007  1501  1001  0810  0804  0704  0814  0714 </t>
  </si>
  <si>
    <t>G/SPS/N/ECU/157</t>
  </si>
  <si>
    <t>Propuesta de Requisitos Fitosanitarios para Importación de Granos Verdes de Café (Coffea canephora) para la Industria Procedente de Camerún (Draft phytosanitary requirements governing the importation into Ecuador of green coffee (Coffea canephora) beans for industrial processing from Cameroon)</t>
  </si>
  <si>
    <t>Draft phytosanitary requirements governing the importation into Ecuador of green coffee (Coffea canephora) beans for industrial processing from Cameroon.</t>
  </si>
  <si>
    <t>Green coffee (Coffea canephora) beans</t>
  </si>
  <si>
    <t>G/SPS/N/EU/119</t>
  </si>
  <si>
    <t xml:space="preserve">Commission Implementing Regulation (EU) No. 2015/244 of 15 February 2015 concerning the authorisation of Quinoline Yellow as a feed additive for non-food-producing animals (Text with EEA relevance) </t>
  </si>
  <si>
    <t>The legislative measure authorises a feed additive for non-food-producing animals to be classified in the category of "sensory additives". A maximum content of 25 mg of active substance /kg of complete feedingstuff with a moisture content of 12% has been established.</t>
  </si>
  <si>
    <t>HS Code: 2309  Preparation of a kind used in animal nutrition</t>
  </si>
  <si>
    <t>G/SPS/N/QAT/53</t>
  </si>
  <si>
    <t>"General Standard for fruit juices and Nectars"</t>
  </si>
  <si>
    <t>This draft technical regulation applies to the General Standard for fruit juices and nectars that are suitable for human consumption.</t>
  </si>
  <si>
    <t>General standard for fruit juices and nectars (ICS Code: 67.160)</t>
  </si>
  <si>
    <t>G/SPS/N/ALB/182</t>
  </si>
  <si>
    <t>Draft ordinance of Minister "On determining the safety and quality indicators of wheat pre-packed  to be sold to the ultimate consumer or for the manufacture of other food products"</t>
  </si>
  <si>
    <t>This draft ordinance applies to wheat flour for human consumption prepared from common wheat  Triticum aestivum  Triticum vulgare wheat or Triticium compactum Host species or their mixture  which are pre-packed for sale to the ultimate consumer or for  other food products. It contains some quality indicators and references for some safety norms. Maximum level in the final product of enzymes  processing agents and permissible limit and method of analysis for some indication of wheat flour are defined. The draft ordinance repeals the ordinance no. 12  dated 15 July 2014 "On determining the safety and quality indicators of wheat pre-packed  to be sold to the ultimate consumer or for the manufacture of other food products".</t>
  </si>
  <si>
    <t>Wheat flour for human consumption</t>
  </si>
  <si>
    <t xml:space="preserve"> HS codes: 1101 </t>
  </si>
  <si>
    <t>G/SPS/N/PHL/105/Add.1</t>
  </si>
  <si>
    <t xml:space="preserve"> HS codes: 0105  0207  010511  051199  0407 </t>
  </si>
  <si>
    <t>G/SPS/N/CHN/627/Add.1</t>
  </si>
  <si>
    <t>Preserved vegetables</t>
  </si>
  <si>
    <t xml:space="preserve"> HS codes: 0711  0712  0713 </t>
  </si>
  <si>
    <t>G/SPS/N/TPKM/349</t>
  </si>
  <si>
    <t>Draft of Sanitation Standard for Pork Fat</t>
  </si>
  <si>
    <t>To establish a standard for raw materials sources  quality characteristics which include the acid value in pork fat.</t>
  </si>
  <si>
    <t>G/SPS/N/TGO/1</t>
  </si>
  <si>
    <t>Décret N°2012-010/PR relatif à l'enrichissement des huiles et de la farine de blé en microéléments (Decree No. 2012-010/PR on the fortification with micro-elements of oils and wheat flour)</t>
  </si>
  <si>
    <t>The notified Decree provides for the mandatory fortification with micro-nutrients of the following food:-refined edible oils  and -wheat flour. The micro-nutrients to be used to fortify refined edible oils and milled wheat flour produced and packaged in or imported into Togo are as follows: -vitamin A for refined edible oils  and-an iron-folic acid-zinc compound for flour.</t>
  </si>
  <si>
    <t>Refined oils and wheat flour</t>
  </si>
  <si>
    <t xml:space="preserve"> HS codes: 1101  15 </t>
  </si>
  <si>
    <t>G/SPS/N/THA/227</t>
  </si>
  <si>
    <t>Draft Thai Agricultural Standard entitled "Good Aquaculture Practices For Hatchery of Disease Free Pacific White Shrimp (Litopenaeus vannamei)"</t>
  </si>
  <si>
    <t>This standard establishes requirements on good aquaculture practices for Litopenaeus vannamei nauplius production  covering from broodstock receiving up until shrimp nauplii ready to be moved from the hatching pond or other hatching containers  in order to obtain Litopenaeus vannamei nauplii free from target diseases. Also  the following requirements for Pacific white shrimp hatchery are specified: 1. Requirements (Production principles  Personnel  Selection of disease free Pacific white shrimp broodstock  General management  Feed management for Pacific white shrimp broodstock  Pacific white shrimp health management and Records)  2. Annex A Target Diseases (White spot disease  Yellow head disease  Taura Syndrome  Infectious Hypodermal and Haematopoietic Necrosis Virus disease  Infectious Myonecrosis  Early Mortality Syndrome or Acute Hepatopancreatic Necrosis Disease).</t>
  </si>
  <si>
    <t>Litopenaeus vannamei nauplii (ICS Code: 0306.17.20)</t>
  </si>
  <si>
    <t xml:space="preserve"> HS codes: 0306 </t>
  </si>
  <si>
    <t>G/SPS/N/UKR/103</t>
  </si>
  <si>
    <t>Draft Resolution of the Cabinet of Ministers of Ukraine on "Some issues of deregulation of economic activity"</t>
  </si>
  <si>
    <t>Paragraph 2 of subparagraph 3 of the Draft Resolution amends the list of objects of the regulation in part  where it concerns plant quarantine approved by the Resolution of the Cabinet of Ministers of Ukraine as of 12 May 2007 no. 705 "On some issues of implementation of the Law of Ukraine on quarantine of plants". According to the proposed amendments  the regulated objects  exported from the customs territory of Ukraine  exported and/or imported into the quarantine zone are not considered to be under control in Ukraine.</t>
  </si>
  <si>
    <t>Coffee  cereals  wheat flour and flour from other cereals  peeled grains  grain  malt  soybeans  peanuts  copra  flax seeds  rape seeds  sunflower seeds  oil seeds  hop cones  lupulin  plants  plant parts  seeds and fruit used primarily in perfumery  medicine or to control insects  parasites  carob fruits  marine and other algae  sugar beet and sugar cane  stones  fruit kernels and other products of vegetable origin  straw and chaff cereals  turnip cabbage  hay  alfalfa  clover and other crops  siftings (UKTZED) HS Codes: 0901 11 00  0901 12 00 00  1001  1002 00 00 00  1003 00  1004 00 00 00  1005  1006  1007 00  1008  1101 00  1102  1103  1104  1105  1106  1107  1201 00  1202  1203 00 00 00  1204 00  1205 00  1206 00  1207  1208  1210  1211  1212  1213 00 00 00  1214  1404  2302  2308</t>
  </si>
  <si>
    <t xml:space="preserve"> HS codes: 2302  100200  100700  09  1212  1005  1105  1202  2308  12  07  090111  1210  1001  1404  100400  100300  1106  1205  1006  1008  1208  08  20  11  1103  120100  1211  1102  06  14  10  090112  110100  120600  121300  120300  120400  1207  1107  1104  1214 </t>
  </si>
  <si>
    <t>Food safety  Plant protection  Protect humans from animal/plant pest or disease  Protect territory from other damage from pests</t>
  </si>
  <si>
    <t>Food safety  Human health  Pests  Plant health  Territory protection</t>
  </si>
  <si>
    <t>G/SPS/N/RUS/93</t>
  </si>
  <si>
    <t>Draft Technical Regulation of the Customs Union "Poultry Meat and Poultry Processed Products"</t>
  </si>
  <si>
    <t xml:space="preserve">This document establishes requirements to poultry meat and poultry processed products  processes of its production  storage  transportation  marketing and utilization  as well as requirements for labelling and packaging of poultry meat and poultry processed products to ensure free circulation within the CU territory. This draft was notified under TBT Russia  as of 9 December 2014 G/TBT/N/RUS/41 in accordance with Article 10.6 of WTO TBT Agreement. According to the mentioned notification 5 February 2015 is established as the final date for comments. </t>
  </si>
  <si>
    <t>Poultry meat and poultry processed products</t>
  </si>
  <si>
    <t>G/SPS/N/RUS/92</t>
  </si>
  <si>
    <t>The Eurasian Economic Commission Collegium Decision  as of 24 December 2014  No. 252 on amendments to the Customs Union Commission Decision on Common forms of veterinary certificates for goods subject to veterinary control (supervision) from third countries as of 7 April 2011  No. 607</t>
  </si>
  <si>
    <t>This document was adopted by the Eurasian Economic Commission Collegium Decision as of 24 December 2014  No. 252. It introduces amendments to CU legislation specifically to the forms of veterinary certificates for exported feed and feed additives of animal origin  including poultry and fish into the CU territory (Form No. 35). These amendments are the following:  1) Add the words "for canned feed humidity above 14%" after the words "botulinum toxin" in para 4.5  2) The note should be read as follows: "The note: 1. The signature and the stamp should be different colour from the form. 2. The veterinary certificate should be made in Russian  as well as the language of the exporting country and (or) in English". Moreover  the Decision establishes that until 1 July 2015  the old veterinary certificate form is valid  along with the veterinary certificate Form No. 35  as amended.</t>
  </si>
  <si>
    <t>Feed and feed additives of animal origin  including poultry and fish</t>
  </si>
  <si>
    <t>G/SPS/N/JPN/396</t>
  </si>
  <si>
    <t>Revision of the Standards and Specifications for Foods and Food Additives under the Food Sanitation Act (Revision of Agricultural Chemical Residue Standards).</t>
  </si>
  <si>
    <t>Proposed maximum residue limits (MRLs) for the following agricultural chemical: Veterinary drug/Feed additive - Lasalocid</t>
  </si>
  <si>
    <t xml:space="preserve"> HS codes: 0205  0204  0504  1506  0306  0206  0201  0401  0209  0303  1502  0408  0208  0203  0302  0202  0304  0307  0407  0207  1501 </t>
  </si>
  <si>
    <t>G/SPS/N/JPN/395</t>
  </si>
  <si>
    <t>Proposed maximum residue limits (MRLs) for the following agricultural chemical: Pesticide/Veterinary drug - Teflubenzuron</t>
  </si>
  <si>
    <t xml:space="preserve">- Fish and crustaceans  molluscs and other aquatic invertebrates (HS Code: 03.07) - Edible vegetables and certain roots and tubers (HS Codes: 07.01  07.02  07.03  07.04  07.05  07.06  07.07  07.08  07.09  07.10  07.13 and 07.14) - Edible fruits and nuts  </t>
  </si>
  <si>
    <t xml:space="preserve"> HS codes: 0810  1210  1201  1206  1801  1007  0907  0707  0807  0307  0709  0909  0702  0906  1202  0802  1002  1005  1212  0903  1003  0705  0902  1008  0808  0708  0908  0706  0801  1004  0910  1006  0905  0710  1205  0809  0901  1001  0803  0713  0703  0811  0805  0701  0806  0904  1204  0804  0704  0814  1207  0714 </t>
  </si>
  <si>
    <t>G/SPS/N/JPN/394</t>
  </si>
  <si>
    <t>Revision of the Standards and Specifications for Foods and Food Additives under the Food Sanitation Act (Revision of Agricultural Chemical Residue Standards)</t>
  </si>
  <si>
    <t>Proposed maximum residue limits (MRLs) for the following agricultural chemical: Pesticide - Fluoroimide</t>
  </si>
  <si>
    <t xml:space="preserve"> HS codes: 0714  0814  0804  0704  1204  1207  0905  0805  0701  0904  0811  0806  0706  0703  0803  0713  0809  0801  0901  1205  1004  0710  0910  1006  0708  0908  0808  1008  0902  0705  0903  1003  1212  1005  1002  0802  1202  0906  0702  0909  0709  0807  0707  0907  1007  1801  1201  1210  1206  0810  1001 </t>
  </si>
  <si>
    <t>G/SPS/N/JPN/393</t>
  </si>
  <si>
    <t>Proposed maximum residue limits (MRLs) for the following agricultural chemical: Pesticide - Flumioxazin</t>
  </si>
  <si>
    <t xml:space="preserve"> HS codes: 1001  0810  1210  1201  1501  0907  0807  1007  0407  0207  0909  0709  0906  0202  1202  0802  1002  1212  1005  1003  0203  0808  0708  0908  1008  0208  0408  0401  1502  0209  0201  0206  1205  0910  0905  1006  0710  1004  0809  1506  0713  0803  0504  0204  0703  0811  0806  0205  0904  0805  0701  0804  1207  0714  0814 </t>
  </si>
  <si>
    <t>G/SPS/N/JPN/392</t>
  </si>
  <si>
    <t>Proposed maximum residue limits (MRLs) for the following agricultural chemical: Pesticide - Dichlobenil</t>
  </si>
  <si>
    <t>- Fish and crustaceans  molluscs and other aquatic invertebrates (HS Codes: 03.02  03.03 and 03.04) - Edible vegetables and certain roots and tubers (HS Codes: 07.02  07.09 and 07.10) - Edible fruits and nuts  peel of citrus/melons (HS Codes: 08.01  08.02</t>
  </si>
  <si>
    <t xml:space="preserve"> HS codes: 0814  1204  0804  1207  1004  0904  0905  0806  0805  0811  0803  0809  1205  0801  0910  0710  0303  1008  0908  0808  1003  1005  0802  1002  0304  0702  0906  0302  0709  0909  0807  1007  0907  1001  0810  1206  1006 </t>
  </si>
  <si>
    <t>G/SPS/N/JPN/391</t>
  </si>
  <si>
    <t>Proposed maximum residue limits (MRLs) for the following agricultural chemical: Pesticide - Clothianidin</t>
  </si>
  <si>
    <t xml:space="preserve"> HS codes: 1801  1501  1201  1210  0810  1206  1007  0907  0203  0407  0707  0807  0207  0909  0709  0702  0906  0202  1202  1002  0802  1212  1005  0903  1003  0705  0808  0908  1008  0408  0708  0208  0902  0204  0209  1502  0801  0910  1006  0905  0206  1004  1205  0710  0201  0901  1001  0809  0706  0401  0703  0504  1506  0803  0713  0806  0811  0805  0205  0904  0701  0704  0804  1204  1207  0814  0714 </t>
  </si>
  <si>
    <t>G/SPS/N/JPN/390</t>
  </si>
  <si>
    <t xml:space="preserve">Proposed maximum residue limits (MRLs) for the following agricultural chemical: Pesticide - Chlorantraniliprole </t>
  </si>
  <si>
    <t xml:space="preserve"> HS codes: 0814  0714  1207  1204  0804  0704  0701  0904  0811  0205  0806  0805  0803  1506  0713  0504  0703  0901  1004  0206  0809  0710  0801  0910  1006  0905  1205  0201  1502  0209  0303  0706  0401  0204  0902  0208  0408  1008  0908  0708  0808  0203  0903  0705  1003  1005  1212  0802  1002  1202  0304  0202  0906  0702  0302  0709  0909  0207  0707  0407  0907  0807  1007  1001  1206  1201  1210  0810  1501  1801 </t>
  </si>
  <si>
    <t>G/SPS/N/USA/2728</t>
  </si>
  <si>
    <t xml:space="preserve">Changes to the Salmonella and Campylobacter Verification Testing Program: Proposed Performance Standards for Salmonella and Campylobacter in Not-Ready-to-Eat Comminuted Chicken and Turkey Products and Raw Chicken Parts and Related Agency Verification  Procedures and Other Changes to Agency Sampling </t>
  </si>
  <si>
    <t>The Food Safety and Inspection Service (FSIS) is announcing and requesting comment on new pathogen reduction performance standards for Salmonella and Campylobacter in raw chicken parts and not-ready-to-eat (NRTE) comminuted chicken and turkey products. The Agency is also announcing its plans to begin sampling raw chicken parts to gain additional information on the prevalence and the microbiological characteristics of Salmonella and Campylobacter in those products. In addition  FSIS intends to begin an exploratory sampling of raw pork products for pathogens of public health concern  as well as for indicator organisms. Finally  FSIS is announcing that it plans to use routine sampling throughout the year rather than infrequently sampling on consecutive days to assess whether establishments' processes are effectively addressing Salmonella and  where applicable  Campylobacter on poultry carcasses and other products derived from these carcasses  including chicken parts and comminuted chicken and turkey product. FSIS intends to perform this assessment using a moving window of sampling results. FSIS will proceed with implementing the routine sampling of raw chicken parts and the changes to specified verification procedures on the dates announced in this notice. However  FSIS is seeking comments on its implementation strategy as part of its effort to continuously assess and improve the effectiveness of Agency policy.</t>
  </si>
  <si>
    <t>G/SPS/N/SAU/141</t>
  </si>
  <si>
    <t>The Kingdom of Saudi Arabia/The Cooperation Council for the Arab States of the Gulf Draft Technical Regulation for: "General Standard for fruit juices and nectars"</t>
  </si>
  <si>
    <t>This draft technical regulation applies to the General Standard for fruit juices and nectars suitable for human consumption.</t>
  </si>
  <si>
    <t>General Standard for fruit juices and nectars (ICS: 67.160)</t>
  </si>
  <si>
    <t>G/SPS/N/CAN/244/Rev.2/Add.1</t>
  </si>
  <si>
    <t xml:space="preserve">Bovine origin product </t>
  </si>
  <si>
    <t xml:space="preserve"> HS codes: 0202  0102  3503  0206 </t>
  </si>
  <si>
    <t xml:space="preserve"> HS codes: 030613 </t>
  </si>
  <si>
    <t>G/SPS/N/KOR/493</t>
  </si>
  <si>
    <t>The proposed amendments seek to: 1. Establish an exceptional provision to allow import of natural cheese made from non-pasteurized milk as in attached table 1  and 2. Clarify the terms used in Hanwoo (Korean native cattle) identification test method.</t>
  </si>
  <si>
    <t xml:space="preserve"> HS codes: 0102  0406 </t>
  </si>
  <si>
    <t>G/SPS/N/PHL/269</t>
  </si>
  <si>
    <t>Final Draft Philippine National Standard (PNS) for Corn Silage</t>
  </si>
  <si>
    <t xml:space="preserve">This standard is to provide safe and high quality corn silage intended for ruminants and other animals to promote its competitiveness to local and international trade. This should be applied to corn plants with intact corn ears  harvested 25 mm to 100 mm in length from the ground  with 60% to 70% moisture content (MC) wet basis and has approximately 2/3 of the milk line or has reached the soft dough stage. </t>
  </si>
  <si>
    <t>HS Code(s):  230990.</t>
  </si>
  <si>
    <t>G/SPS/N/USA/2724</t>
  </si>
  <si>
    <t>Eligibility of Lithuania to Export Meat and Meat Products to the United States</t>
  </si>
  <si>
    <t xml:space="preserve">USDAs Food Safety and Inspection Service (FSIS) is proposing to add the Republic of Lithuania (Lithuania) to the list of countries eligible to export meat and meat products to the United States.  FSIS review of Lithuania's laws  regulations  and inspection implementation show that its meat inspection system requirements are equivalent to the Federal Meat Inspection Act (FMIA) and its implementing regulations. Under this proposal  meat from cattle  sheep  swine  and goats slaughtered in Lithuania  or parts or other products thereof  processed in certified Lithuanian establishments  would be eligible for export to the United States.  All such products would be subject to reinspection at United States ports-of-entry by FSIS inspectors. </t>
  </si>
  <si>
    <t xml:space="preserve">Meat and meat products </t>
  </si>
  <si>
    <t>Equivalence  Food safety  Human health  Pest or Disease free Regions</t>
  </si>
  <si>
    <t>G/SPS/N/EU/33/Add.5</t>
  </si>
  <si>
    <t>Animal by-products and products derived thereof not intended for human consumption</t>
  </si>
  <si>
    <t>G/SPS/N/PHL/262</t>
  </si>
  <si>
    <t>Final Draft Philippine National Standard for Muscovado Sugar</t>
  </si>
  <si>
    <t>The Philippine National Standard for Muscovado Sugar intends to provide guidance on the composition and quality of Muscovado Sugar intended for human use without further processing. It includes sections on the essential composition and quality parameters  additives  contaminants  hygiene  packaging  labelling  and methods of analysis and sampling.</t>
  </si>
  <si>
    <t>HS Code(s):  17019.</t>
  </si>
  <si>
    <t xml:space="preserve"> HS codes: 17019 </t>
  </si>
  <si>
    <t>Contaminants  Food additives  Food safety  Human health  Labelling  Packaging</t>
  </si>
  <si>
    <t>G/SPS/N/PHL/263</t>
  </si>
  <si>
    <t>Final Draft Philippine National Standard Code of Practice for Processing and Handling of Muscovado Sugar</t>
  </si>
  <si>
    <t>This Code of Practice intends to provide guidance for the preparation and processing of Muscovado Sugar. It includes sections on the over-all process of making muscovado sugar: site and location  plant premises  building  equipment and facilities  sanitation  raw materials requirement  operating practices and production requirements with consideration of personal hygiene  management and supervision  documentation and records and recall procedures.</t>
  </si>
  <si>
    <t>G/SPS/N/JPN/388</t>
  </si>
  <si>
    <t>Proposed maximum residue limits (MRLs) for the following agricultural chemical Pesticide: Pyrazosulfuron-ethyl</t>
  </si>
  <si>
    <t>Cereals (HS: 10.06)</t>
  </si>
  <si>
    <t>G/SPS/N/JPN/387</t>
  </si>
  <si>
    <t>Proposed maximum residue limits (MRLs) for the following agricultural chemical Pesticide: Phosalone</t>
  </si>
  <si>
    <t>- Edible vegetables and certain roots and tubers (HS: 07.01  07.02  07.03  07.04  07.05  07.06  07.07  07.08  07.09  07.10  07.13 and 07.14) - Edible fruits and nuts  peel of citrus/melons (HS: 08.01  08.02  08.03  08.04  08.05  08.06  08.07  08.08  08.09</t>
  </si>
  <si>
    <t xml:space="preserve"> HS codes: 1212  0903  1204  0705  0804  0704  0907  0808  0807  0908  0702  0708  0706  0707  0814  1207  0714  0805  0803  0809  0810  0713  0802  0904  0811  0806  0906  0710  0709  0703  0909  0910  1206  1205  0701  0905  0902  0801 </t>
  </si>
  <si>
    <t>G/SPS/N/JPN/386</t>
  </si>
  <si>
    <t xml:space="preserve">Revision of the Standards and Specifications for Foods and Food Additives under the Food Sanitation Act (revision of agricultural chemical residue standards). </t>
  </si>
  <si>
    <t>Proposed maximum residue limits (MRLs) for the following agricultural chemical Pesticide: Kasugamycin</t>
  </si>
  <si>
    <t>- Edible vegetables and certain roots and tubers (HS: 07.01  07.02  07.03  07.04  07.05  07.06  07.07  07.08  07.09  07.10 and 07.13) - Edible fruits and nuts  peel of citrus/melons (HS: 08.02  08.05  08.07  08.08  08.09  08.10 and 08.14) - Coffee  tea  m</t>
  </si>
  <si>
    <t xml:space="preserve"> HS codes: 0905  0701  0910  0909  0703  0710  0709  0906  0802  0904  0713  0810  1202  0809  0805  1006  0902  0814  0707  0708  0706  0702  0908  0807  0808  0907  0704  1201  0705  0903  1212 </t>
  </si>
  <si>
    <t>G/SPS/N/JPN/385</t>
  </si>
  <si>
    <t>Proposed maximum residue limits (MRLs) for the following agricultural chemical Pesticide: Fluazinam</t>
  </si>
  <si>
    <t xml:space="preserve">- Edible vegetables and certain roots and tubers (HS: 07.01  07.03  07.04  07.05  07.06  07.09  07.10  07.13 and 07.14) - Edible fruits and nuts  peel of citrus/melons (HS: 08.02  08.03  08.04  08.05  08.06  08.07  08.08  08.09  08.10  08.11 and 08.14) - </t>
  </si>
  <si>
    <t xml:space="preserve"> HS codes: 1212  0903  0804  0705  0704  0907  0807  0908  0706  0808  0714  0814  0902  0803  0805  0809  0703  0810  1202  0904  0811  0802  0713  0709  0806  0906  0710  0909  1001  0701  0905  0910 </t>
  </si>
  <si>
    <t>G/SPS/N/JPN/384</t>
  </si>
  <si>
    <t>Proposed maximum residue limits (MRLs) for the following agricultural chemical Pesticide: Diflufenican</t>
  </si>
  <si>
    <t xml:space="preserve"> HS codes: 0905  0910  1205  0701  1206  0901  0203  1001  0801  0806  0703  0909  0709  0906  0710  1002  0206  0713  0802  0904  1008  0811  0810  1202  1006  1004  0809  0805  1210  0803  0902  0401  1502  0714  0207  0202  0814  1207  0208  0408  0407  0209  0707  0708  0706  0702  0908  1007  0504  1506  0907  0201  0204  0205  0808  0807  0704  1501  1201  0804  0705  1204  0903  1003  1005  1212 </t>
  </si>
  <si>
    <t>G/SPS/N/CHL/490</t>
  </si>
  <si>
    <t>Modifica Resolución N° 3.397  de 1998  que fija exigencias sanitarias para la internación de carnes de cerdo enfriadas o congeladas (Amendment to Resolution No. 3.397 of 1998 establishing sanitary requirements for the importation into Chile of chilled or frozen pork).</t>
  </si>
  <si>
    <t>As the Agriculture and Livestock Service has the authority to adopt measures to maintain the appropriate level of protection  it has amended Resolution No. 3.397 of 1998 establishing sanitary requirements for the importation into Chile of chilled or frozen pork.</t>
  </si>
  <si>
    <t>Chilled or frozen pork</t>
  </si>
  <si>
    <t>G/SPS/N/RUS/50/Add.1</t>
  </si>
  <si>
    <t>HS Codes: 0210  3808  1511</t>
  </si>
  <si>
    <t xml:space="preserve"> HS codes: 3808  1511  0210 </t>
  </si>
  <si>
    <t>G/SPS/N/EU/118</t>
  </si>
  <si>
    <t xml:space="preserve">Commission Implementing Regulation (EU) No. 1295/2014 of 4 December 2014 amending Annex I to Regulation (EC) No. 669/2009 implementing Regulation (EC) No. 882/2004 of the European Parliament and of the Council as regards the increased level of official controls on imports of certain feed and food of non-animal origin (Text with EEA relevance) </t>
  </si>
  <si>
    <t>The Regulation reviews the list of imports of feed and food of non-animal origin which are subject to an increased level of official controls. The changes concern the removal from the list of oranges from Egypt and coriander leaves  basil and mint from Thailand  as well as the increase in the frequency of physical and identity checks applicable to dried spices from India  betel leaves from India and Thailand and vine leaves from Turkey.</t>
  </si>
  <si>
    <t>HS Code(s): ex 07049090  ex 07081000  ex 07082000  07096010  07093000  ex 07094000  07096010  ex 07096099  ex 07099990  ex 07102200  071022  07108051  ex 07108059  ex 07108095  07133900  08051020  08051080  ex 08054000  08061010  080620  08101000  ex 08109020  081110  08131000  0902  090420  09042110  09042190  ex 09042200  09081100  09081200  091050  09109105  ex 11063090  12024100  12024200  12074090  ex 12077000  ex 12119086  ex 14049000  20081110  20081191  20081196  20081198  ex 20089999  3507</t>
  </si>
  <si>
    <t xml:space="preserve"> HS codes: 0908  0813  0708  1211  0902  1207  080540  1404  110630  1202  0810  0709  0806  0710  081110  090420  080510  20081  20089  0704 </t>
  </si>
  <si>
    <t>G/SPS/N/CAN/244/Rev.2</t>
  </si>
  <si>
    <t>Bovine Spongiform Encephalopathy (BSE) Import Policy for Bovine Animals and Their Products and By-products and associated annexes</t>
  </si>
  <si>
    <t xml:space="preserve">The CFIA is updating the Bovine Spongiform Encephalopathy Import Policy for Bovine Animals and Their Products and By-Products (herein referred to as BSE Import Policy). Related policies (listed within the BSE Import Policy) will also be updated to align with or refer to this policy.  Updates to the BSE Import Policy include: providing the list of definitions in a separate document referenced via hyperlink  revising the list of the Bovine Spongiform Encephalopathy (BSE) status of OIE members such that it reflects the updated Terrestrial Animal Health Code (May 2014) of the OIE (further delineation of the list based on types of cases reported)  and listing dates (based on OIE guidelines) which Canada has determined as the effective date of implementation and enforcement of feed bans for all the countries on the lists for negligible and controlled risk for BSE status.  </t>
  </si>
  <si>
    <t xml:space="preserve"> HS codes: 0202  0102  0206 </t>
  </si>
  <si>
    <t>Animal diseases  Animal health  Bovine Spongiform Encephalopathy(BSE)  Food safety  Human health  Transmissible Spongiform Encephalopathy (TSE)  Zoonoses</t>
  </si>
  <si>
    <t>G/SPS/N/PER/580</t>
  </si>
  <si>
    <t>Resolución Directoral Nº 0051-2014-MINAGRI-SENASA-DSV (Directorial Resolution No. 0051-2014-MINAGRI-SENASA-DSV)</t>
  </si>
  <si>
    <t>The notified Directorial Resolution establishes mandatory phytosanitary requirements governing the international transit through Peruvian territory of Brazil nuts that are naturally dried and in shell  industrially dried and in shell or peeled  naturally dried and shelled  industrially dried and shelled  whether peeled or grated  or in the form of flour or powder  originating in and coming from Brazil or the Plurinational State of Bolivia.</t>
  </si>
  <si>
    <t>0801.21.00.00  0801.22.00.00  1106.30.90.00 Brazil nuts: in shell  shelled  peeled or grated  or in the form of flour or powder.</t>
  </si>
  <si>
    <t xml:space="preserve"> HS codes: 11  08  080122  110630  080121 </t>
  </si>
  <si>
    <t>G/SPS/N/CAN/903</t>
  </si>
  <si>
    <t>Health Canada's Proposal to Enable the Use of the New Food Additive  Cyprosin from the Flower of Cynara cardunculus L.var. altilis DC.  as a Food Enzyme in Various Standardized Cheeses</t>
  </si>
  <si>
    <t xml:space="preserve">Health Canada's Food Directorate completed a detailed safety assessment of a food additive submission seeking approval for the use of the milk clotting (coagulating) enzyme cyprosin  obtained from the flower of the cardoon plant (Cynara cardunculus L.var. altilis DC.)  in cheese making. As no safety concerns were raised through this assessment  it is the intention of Health Canada to enable this food additive  as described in the information document. The purpose of this communication is to publically announce the Department's intention in this regard and to provide the appropriate contact information for any inquiries or for those wishing to submit any new scientific information relevant to the safety of this food additive. Health Canada's Food Directorate is committed to reviewing any new scientific information on the safety in use of any food additive  including cyprosin. Anyone wishing to submit new scientific information on the use of this food additive or to submit any inquiries may do so in writing  by regular mail or electronically. </t>
  </si>
  <si>
    <t>Cyprosin (ICS Codes: 67.220.20  67.100.30)</t>
  </si>
  <si>
    <t>G/SPS/N/USA/2280/Add.4</t>
  </si>
  <si>
    <t>Specific raw beef products</t>
  </si>
  <si>
    <t xml:space="preserve"> HS codes: 0201 </t>
  </si>
  <si>
    <t>G/SPS/N/USA/2136/Add.2</t>
  </si>
  <si>
    <t>Live birds and poultry  and bird and poultry products and by-products and processed carcasses  and parts or products of carcasses as specified in interim rule.</t>
  </si>
  <si>
    <t xml:space="preserve"> HS codes: 0207  0407  01063  0105 </t>
  </si>
  <si>
    <t>Animal health  Protect territory from other damage from pests</t>
  </si>
  <si>
    <t>G/SPS/N/SAU/132</t>
  </si>
  <si>
    <t>The Kingdom of Saudi Arabia/The Cooperation Council for the Arab States of the Gulf Draft Technical Regulation for: "Table olives".</t>
  </si>
  <si>
    <t>This draft technical regulation applies to table olives intended for human consumption.</t>
  </si>
  <si>
    <t>Table olives (ICS Code: 67.080.10).</t>
  </si>
  <si>
    <t xml:space="preserve"> HS codes: 071120 </t>
  </si>
  <si>
    <t>G/SPS/N/SAU/131</t>
  </si>
  <si>
    <t xml:space="preserve">The Kingdom of Saudi Arabia/The Cooperation Council for the Arab States of the Gulf Draft Technical Regulation for: "Frozen Chickens".  </t>
  </si>
  <si>
    <t>This draft technical regulation applies to whole broiler chicken (not egg-laying hens) meats  its pieces and visceral organs that are suitable for human consumption  which are preserved by freezing.</t>
  </si>
  <si>
    <t>Frozen Chickens (ICS Code: 67.120.20).</t>
  </si>
  <si>
    <t>G/SPS/N/SAU/130</t>
  </si>
  <si>
    <t>The Kingdom of Saudi Arabia/The Cooperation Council for the Arab States of the Gulf Draft Technical Regulation for: "Fruit and vegetables and their products - Fresh Okra".</t>
  </si>
  <si>
    <t>This draft technical regulation applies to the requirements of Fresh Okra intended for human consumption.</t>
  </si>
  <si>
    <t>Fruit and vegetables and their products - Fresh Okra  (ICS Code: 67.080.10).</t>
  </si>
  <si>
    <t xml:space="preserve"> HS codes: 0710 </t>
  </si>
  <si>
    <t>G/SPS/N/SAU/127</t>
  </si>
  <si>
    <t>The Kingdom of Saudi Arabia/The Cooperation Council for the Arab States of the Gulf Draft Technical Regulation for: "Frozen Carrot".</t>
  </si>
  <si>
    <t>This draft technical regulation applies to basic requirements and standards descriptive of frozen carrot prepared for direct consumption without additional manufacturing with the exception of re-packing.</t>
  </si>
  <si>
    <t>Frozen Carrot  (ICS Code: 67.080)</t>
  </si>
  <si>
    <t>G/SPS/N/SAU/121</t>
  </si>
  <si>
    <t xml:space="preserve">The Kingdom of Saudi Arabia/The Cooperation Council for the Arab States of the Gulf Draft Technical Regulation for: "Baking powder". </t>
  </si>
  <si>
    <t>This draft technical regulation applies to the basic requirements of the baking powder to be suitable for human consumption.</t>
  </si>
  <si>
    <t>Baking powder (ICS Code: 67.060).</t>
  </si>
  <si>
    <t xml:space="preserve"> HS codes: 1905  210230 </t>
  </si>
  <si>
    <t>G/SPS/N/THA/224</t>
  </si>
  <si>
    <t xml:space="preserve">Department of Fisheries Regulation entitled "Aquatic Animal Health Certificate for Exportation  B.E. 2557 "  </t>
  </si>
  <si>
    <t xml:space="preserve">The Department of Fisheries Regulation B.E. 2544 (2001) regarding Aquatic Animal Health Certificate for the Exportation of Live Aquatic Animals  dated 3 April B.E. 2544  has been replaced by the Department of Fisheries Regulation B.E. 2557 (2014) regarding Aquatic Animal Health Certificate for Exportation  dated 30 June B.E. 2557. Therefore  the former Live Aquatic Animal Health Certificate has been replaced by three forms of the Aquatic Animal Health Certificate  as stated below: 1. HC 2: Certify that the animals are officially recognized as unaffected by the OIE-Listed diseases and come from a farm establishment/zone/country where they are declared free from the OIE-Listed diseases and the animals also meet general health requirements  transport and labelling requirements. (This model is used for importing countries that do not require the addition of their own Health Certificate model.) 2. HC 3: Certify that the animals meet general health requirements  transport and labelling requirements. (This model is used for importing countries that do not require the addition of their own Health Certificate model.) 3. HC 4: Certify that the animals are rofficially recognized as unaffected by the diseases listed in the importing countries Health Certificate model. (This model is used for importing countries that require the addition of their own Health Certificate model.) </t>
  </si>
  <si>
    <t>Aquatic Animals - HS Code: 0301 Live fish including ornamental fish  freshwater fish  and marine fish  HS Code: 0302 Fish  fresh or chilled  excluding fish fillets and other fish meat  HS Code: 0303 Fish  frozen   excluding fish fillets and other fish meat  HS Code: 0306 Crustaceans  live  fresh  chilled or frozen  in shell  HS Code: 0307 Molluscs  live  fresh  chilled or frozen  in shell  HS Code: 0106 other live animals such as frog  softshell turtle  and crocodile.</t>
  </si>
  <si>
    <t xml:space="preserve"> HS codes: 0306  0301  0302  0303  0106  0307 </t>
  </si>
  <si>
    <t>Animal diseases  Animal health  Certification  control and inspection</t>
  </si>
  <si>
    <t>G/SPS/N/JPN/382</t>
  </si>
  <si>
    <t>Proposed maximum residue limits (MRLs) for the following agricultural chemical - Pesticide: Lepimectin</t>
  </si>
  <si>
    <t>- Fish and crustaceans  molluscs and other aquatic invertebrates (HS Code: 03.02  03.03 and 03.04) - Edible vegetables and certain roots and tubers (HS Code: 07.02  07.03  07.04  07.05  07.06  07.07  07.08  07.09  07.10 and 07.14) - Edible fruits and nuts</t>
  </si>
  <si>
    <t xml:space="preserve"> HS codes: 0902  0714  0814  0807  0907  0303  0908  0702  0302  0707  0708  0808  0706  0905  0910  1201  0304  0805  0810  0703  0809  0906  0909  0710  0806  0709  0811  0904  0705  0704  1005 </t>
  </si>
  <si>
    <t>G/SPS/N/JPN/381</t>
  </si>
  <si>
    <t>Proposed maximum residue limits (MRLs) for the following agricultural chemical - Pesticide: Triflumizole</t>
  </si>
  <si>
    <t>- Meat and edible meat offal (HS Code: 02.01  02.02  02.03  02.04  02.05  02.06 and 02.08) - Fish and crustaceans  molluscs and other aquatic invertebrates (HS Code: 03.02  03.03 and 03.04) - Dairy produce  birds' eggs and natural honey (HS Code: 04.01) -</t>
  </si>
  <si>
    <t xml:space="preserve"> HS codes: 1003  1005  1212  1201  1501  1801  0704  0903  1204  0804  0705  0802  0713  0811  1008  0904  0206  1002  0906  0709  0703  0909  0806  0710  0809  1006  1202  0810  0401  0805  1004  1210  0803  0304  0801  0203  0901  1001  0701  1205  1206  0905  0910  0706  0707  0708  0808  0504  1007  0702  0908  0303  0204  1506  0302  0205  0807  0201  0907  0208  1207  0202  0814  0714  1502  0902 </t>
  </si>
  <si>
    <t>G/SPS/N/JPN/380</t>
  </si>
  <si>
    <t>Proposed maximum residue limits (MRLs) for the following agricultural chemical - Pesticide: Imazapyr</t>
  </si>
  <si>
    <t>- Meat and edible meat offal (HS Code: 02.01  02.02  02.03  02.04  02.05  02.06  02.07  02.08 and 02.09) - Fish and crustaceans  molluscs and other aquatic invertebrates (HS Code: 03.02  03.03  03.04  03.06 and 03.07) - Dairy produce  birds' eggs and natu</t>
  </si>
  <si>
    <t xml:space="preserve"> HS codes: 1502  0202  0207  0208  0209  0307  1506  0204  0302  0205  0201  0504  0407  0408  0401  0306  1205  1206  1201  1001  0203  0304  0710  0709  0206  0303  0713  1501  1005 </t>
  </si>
  <si>
    <t>G/SPS/N/JPN/379</t>
  </si>
  <si>
    <t>Proposed maximum residue limits (MRLs) for the following agricultural chemical - Pesticide: Flufenoxuron</t>
  </si>
  <si>
    <t>- Fish and crustaceans  molluscs and other aquatic invertebrates (HS Code: 03.02  03.03 and 03.04) - Edible vegetables and certain roots and tubers (HS Code: 07.02  07.03  07.04  07.05  07.06  07.07  07.08  07.09  07.10  07.13 and 07.14) - Edible fruits a</t>
  </si>
  <si>
    <t xml:space="preserve"> HS codes: 1212  1005  0704  0804  0705  0903  0805  0810  0809  0703  0713  0904  0811  0709  0806  0909  0710  0906  0304  1201  0905  0910  0706  0808  0708  0707  0302  0908  0702  0907  0807  0303  1207  0814  0714  0902 </t>
  </si>
  <si>
    <t>G/SPS/N/JPN/378</t>
  </si>
  <si>
    <t>Proposed maximum residue limits (MRLs) for the following agricultural chemical - Pesticide: Etofenprox</t>
  </si>
  <si>
    <t xml:space="preserve">- Meat and edible meat offal (HS Code: 02.01  02.02  02.03  02.04  02.05  02.06  02.07  02.08 and 02.09) - Fish and crustaceans  molluscs and other aquatic invertebrates (HS Code: 03.02  03.03 and 03.04) - Dairy produce  birds' eggs and natural honey (HS </t>
  </si>
  <si>
    <t xml:space="preserve"> HS codes: 0902  1502  0714  0814  0202  0207  0208  0204  0205  0201  1506  0907  0807  0702  0908  0303  0504  1007  0302  0708  0707  0808  0706  0408  0407  0209  1205  0701  0905  0910  0203  1001  0801  0304  0806  0909  0709  0906  0710  0904  1008  1002  0802  0206  0713  0809  0703  1006  1202  0810  0805  0401  0803  1004  0903  0705  0804  1201  1501  0704  1005  1212  1003 </t>
  </si>
  <si>
    <t>G/SPS/N/PHL/134/Add.1/Corr.1</t>
  </si>
  <si>
    <t>Live poultry (0105)  poultry meat (0207)  day-old chicks (0105.11)  eggs (0407) and semen (0511.99)</t>
  </si>
  <si>
    <t xml:space="preserve"> HS codes: 051199  0105  010511  0407  0207 </t>
  </si>
  <si>
    <t>G/SPS/N/PHL/134/Add.1</t>
  </si>
  <si>
    <t xml:space="preserve"> HS codes: 010511  0207  0407  0105  051199 </t>
  </si>
  <si>
    <t>Live poultry (HS Code: 0105)  poultry meat (HS Code: 0207)  day-old chicks (HS Code: 0105.11)  eggs (HS Code: 0407)  and semen (HS Code: 0511.99)</t>
  </si>
  <si>
    <t>G/SPS/N/EU/115</t>
  </si>
  <si>
    <t xml:space="preserve">Proposal for a Regulation of the European Parliament and of the Council on the manufacture  placing on the market and use of medicated feed and repealing Council Directive 90/167/EEC. (Text with EEA relevance). </t>
  </si>
  <si>
    <t>The aim of the proposal is to harmonize and update the current legislation by repealing Council Directive 90/167/EEC and setting out the conditions under which medicated feed may be manufactured  placed in the market and used within the EU.</t>
  </si>
  <si>
    <t>HS Code: 2309 preparations for use in animal nutrition.</t>
  </si>
  <si>
    <t>Animal feed  Feed additives  Food safety  Human health  Veterinary drugs</t>
  </si>
  <si>
    <t>G/SPS/N/SAU/120</t>
  </si>
  <si>
    <t xml:space="preserve">The Kingdom of Saudi Arabia / The Cooperation Council for the Arab States of the Gulf Draft Technical Regulation for: "Cocoa powders (cocoas) and dry mixtures of cocoa and sugars". </t>
  </si>
  <si>
    <t>This draft technical regulation applies to cocoa powders (cocoas) and dry mixtures of cocoa and sugars intended for direct consumption.</t>
  </si>
  <si>
    <t>Cocoa powders (cocoas) and dry mixtures of cocoa and sugars (ICS Code: 67.140.30)</t>
  </si>
  <si>
    <t xml:space="preserve"> HS codes: 180610 </t>
  </si>
  <si>
    <t>G/SPS/N/PHL/258</t>
  </si>
  <si>
    <t xml:space="preserve">Draft Philippine Standards on the Code of Hygienic Practice for Processing and Handling of Corn Grits </t>
  </si>
  <si>
    <t>This code of practice intends to provide guidance  for the processing and handling of quality Corn Grits. Also the code aims to prevent contamination and infestation of the said product with hazards like aflatoxin  heavy metals and pesticide residues.</t>
  </si>
  <si>
    <t>(HS Code: 1103.13.00)</t>
  </si>
  <si>
    <t xml:space="preserve"> HS codes: 110313 </t>
  </si>
  <si>
    <t>Aflatoxins  Contaminants  Food safety  Heavy metals  Human health  Mycotoxins  Pesticides  Toxins</t>
  </si>
  <si>
    <t>G/SPS/N/PHL/257</t>
  </si>
  <si>
    <t xml:space="preserve">Final Draft Philippine National Standard (PNS) for Fresh-Chilled  Fresh-Frozen  and Treated Tuna </t>
  </si>
  <si>
    <t>This PNS for fresh-chilled  fresh-frozen  and treated tuna aims to provide a common understanding on the scope of the standard  product description  essential composition and quality factors  food additives  hygiene and handling  labeling requirements  methods of sampling  examination and analysis  definition of defectives  and the requirements for product lot acceptance.</t>
  </si>
  <si>
    <t>(HS Code: 0302.30)  (HS Code: 0303.40).</t>
  </si>
  <si>
    <t xml:space="preserve"> HS codes: 03023  03034 </t>
  </si>
  <si>
    <t>Bacteria  Escherichia coli  Food additives  Food safety  Human health  Labelling  Listeria monocytogenes  Pests  Salmonella</t>
  </si>
  <si>
    <t>G/SPS/N/EU/55/Add.1</t>
  </si>
  <si>
    <t>Cocoa and chocolate products  infant formulae</t>
  </si>
  <si>
    <t xml:space="preserve"> HS codes: 18  190110 </t>
  </si>
  <si>
    <t>G/SPS/N/EU/114</t>
  </si>
  <si>
    <t>Commission Regulation (EU) No. 1123/2014 of 22 October 2014 amending Directive 2008/38/EC establishing a list of intended uses of animal feedingstuffs for particular nutritional purposes. (Text with EEA relevance)</t>
  </si>
  <si>
    <t>This legislative measure amends Directive 2008/38/EC in its Part B of Annex I  adding particular nutritional purposes to the list of intended uses of feed intended for particular nutritional purposes.</t>
  </si>
  <si>
    <t>Feed for particular nutritional purposes (dietetic feed)</t>
  </si>
  <si>
    <t>G/SPS/N/EU/113</t>
  </si>
  <si>
    <t xml:space="preserve">Commission Implementing Regulation (EU) No. 1115/2014 of 21 October 2014 concerning the authorization of a preparation of fumonisin esterase produced by Komagataella pastoris (DSM 26643) as a feed additive for pigs. (Text with EEA relevance) </t>
  </si>
  <si>
    <t>This legislative measure authorizes the commercialization of a preparation of fumonisin esterase as a feed additive in the category of technological additives after re-evaluation in the framework of Regulation (EC) No. 1831/2003. No maximum limits have been established.</t>
  </si>
  <si>
    <t>HS Code: 2309 Preparation of a kind used in animal nutrition.</t>
  </si>
  <si>
    <t>G/SPS/N/EU/111</t>
  </si>
  <si>
    <t xml:space="preserve">Draft Commission Regulation amending Regulation (EC) No. 1831/2003 of the European Parliament and of the Council as regards requirements for the placing on the market and conditions of use of additives consisting of preparations. (Text with EEA relevance). </t>
  </si>
  <si>
    <t>Legislative measure amending Regulation (EC) No. 1831/2003 as regards the introduction of additional labelling requirements for technological feed additives and other substances or products incorporated to exert a function on the active substance contained in some preparations. The function of the substances (belonging to the categories referred to in Article 6(1)(a)  (b) and (c)) might be stabilizing or standardizing the preparation or facilitating its handling or incorporation into feed. Thus it is appropriate to introduce into Annex III and IV of the Regulation modifications to the information requirements and to the general condition of use for this type of additives and premixtures containing them so as to allow a verification that technological additives used in a preparation are authorised for the intended purpose and that those additives exert a function only on the active substance and not to the other components contained in the preparation.</t>
  </si>
  <si>
    <t>HS Code: 2309 Preparations of a kind used in animal feeding.</t>
  </si>
  <si>
    <t>G/SPS/N/IND/92</t>
  </si>
  <si>
    <t>Food Safety and Standard (Food Product Standard and Food Additives) Amendment Regulation  2011  dated 25 August 2014</t>
  </si>
  <si>
    <t>Through this draft Food Safety and Standard (Food Product Standard and Food Additives) Amendment Regulation  2011  approves the use of glucose oxidase  xylanase and lipase as processing aid in bread and amendment to the standards [Food Safety and Standards regulation  2011: Appendix A  Table no. 1]</t>
  </si>
  <si>
    <t>Enzymes in bread</t>
  </si>
  <si>
    <t>G/SPS/N/EU/110</t>
  </si>
  <si>
    <t>Commission Implementing Regulation (EU) No. 1070/2014 of 10 October 2014 amending Regulation (EC) No. 271/2009 as regards the minimum content of the preparation of endo-1 4-beta-xylanase produced by Aspergillus niger (CBS 109.713) and endo-1 4-beta-glucanase produced by Aspergillus niger (DSM 18404) as a feed additive for laying hens (holder of authorization BASF SE)</t>
  </si>
  <si>
    <t>In accordance with Article 13(3) of Regulation (EC) No. 1831/2003 this legislative measure aims at reducing the minimum content of the substances endo-1 4-beta-xylanase and endo-1 4-beta-glucanase from 560 TXU/kg to 280 TXU/kg and from 250 TGU/kg to 125 TGU/kg of the complete feedingstuff as regards the use on laying hens.</t>
  </si>
  <si>
    <t>Feed additive included in Taric code 230990</t>
  </si>
  <si>
    <t>G/SPS/N/EU/109</t>
  </si>
  <si>
    <t>Commission Implementing Regulation (EU) No. 1109/2014 of 20 October 2014 concerning the authorization of a preparation of Saccharomyces cerevisiae CBS493.94 as a feed additive for cattle for fattening  minor ruminant species for fattening  dairy cows and minor dairy ruminant species and amending Regulation (EC) No. 1288/2004 and (EC) No. 1811/2005 (holder of authorisation Alltech France) (Text with EEA relevance).</t>
  </si>
  <si>
    <t>This legislative measure authorizes the commercialisation of a preparation of Saccharomyces cerevisiae CBS493.94 as a feed additive in the category of zootechnical additives after re-evaluation in the framework of Regulation (EC) 1831/2003. No maximum limits have been established.</t>
  </si>
  <si>
    <t>Feed additives included in Taric code 230990</t>
  </si>
  <si>
    <t>G/SPS/N/EU/107</t>
  </si>
  <si>
    <t xml:space="preserve">Commission Implementing Regulation (EU) No. 1076/2014 of 13 October 2014 concerning the authorization of a preparation containing a smoke flavouring extract-2b0001 as feed additive for dogs and cats </t>
  </si>
  <si>
    <t>The legislative measure authorizes a smoke flavouring extract-2b0001 as feed additive for dogs and cats to be classified in the category of "sensory additives". A maximum content of 40 mg of active substance /kg of complete feedingstuff with a moisture content of 12% has been established.</t>
  </si>
  <si>
    <t>G/SPS/N/EU/105</t>
  </si>
  <si>
    <t xml:space="preserve">Commission Implementing Regulation (EU) No. 1083/2014 of 15 October 2014 concerning the authorization of a preparation of Enterococcus faecium DSM7134 (Bonvital) as a feed additive for sows (Text with EEA relevance). </t>
  </si>
  <si>
    <t>This legislative measure authorizes the commercialization of the preparation Enterococcus faecium DSM 7134 (Bonvital) as feed additive for sows in the framework of Regulation (UE) 1831/2003. The preparation  authorized to be used for the duration of the entire reproductive cycle  is classified in the category of "zootechnical additives". No maximum limits have been established.</t>
  </si>
  <si>
    <t>G/SPS/N/EU/103</t>
  </si>
  <si>
    <t xml:space="preserve">Commission implementing Regulation (EU) No. 852/2014 of 5 August 2014 concerning the authorization of L-methionine as a feed additive for all animal species. (Text with EEA relevance) </t>
  </si>
  <si>
    <t>This legislative measure authorizes the commercialization of L-methionine produced by escherichia coli (KCCM 11252P and KCCM 11340P) as a feed additive for all animal species in the framework of Regulation (UE) No. 1831/2003. The authorization covers the use of these additives in all feedingstuffs and water for drinking. Although the EFSA expressed its concerns over the safety of the substance when administered via water for drinking  no maximum limit have been established.</t>
  </si>
  <si>
    <t>Feed additive included in the Taric code 230990</t>
  </si>
  <si>
    <t>G/SPS/N/EU/102</t>
  </si>
  <si>
    <t xml:space="preserve">Commission implementing Regulation (EU) No. 847/2014 of 4 August 2014 concerning the authorization of DL-selenomethionine as a feed additive for all animal species. (Text with EEA relevance)  </t>
  </si>
  <si>
    <t>This legislative measure authorizes the commercialisation of DL-selenomethionine as a feed additive for all animal species in the European market. A maximum limit of 0.50 mg/kg has been established.</t>
  </si>
  <si>
    <t>G/SPS/N/EU/101</t>
  </si>
  <si>
    <t xml:space="preserve">Commission implementing regulation (EU) No. 848/2014 of 4 August 2014 concerning the authorization of L-valine produced by Corynebacterium glutamicum as a feed additive for all animal species and amending  Regulation  (EC) No. 403/2009 as regards the labelling of the feed additive L-valine. (Text with EEA relevance) </t>
  </si>
  <si>
    <t>This legislative measure authorizes the commercialization of L-valine produced by Corynebacterium glutamicum as a feed additive for all animal species in the framework of Regulation (EU) No. 1831/2003. The authorization includes obligations to fulfil on labelling  to ensure the differentiation of the feed additives in the final feed  in accordance with Commission Regulation (EC) No. 403/2009 authorizing L-valine produced by Escherichia coli.</t>
  </si>
  <si>
    <t>Animal feed  Feed additives  Food safety  Human health  Labelling</t>
  </si>
  <si>
    <t>G/SPS/N/JPN/376</t>
  </si>
  <si>
    <t>Proposed maximum residue limits (MRLs) for the following agricultural chemical Veterinary drug/feed additive: Apramycin</t>
  </si>
  <si>
    <t>- Meat and edible meat offal (HS Code: 02.01  02.02  02.03  02.04  02.05  02.06  02.07  02.08 and 02.09) - Products of animal origin (HS Code: 05.04) - Animal or vegetable fats and oils (HS Code: 15.01  15.02 and 15.06)</t>
  </si>
  <si>
    <t xml:space="preserve"> HS codes: 1501  0203  0206  1502  0202  0207  0208  0504  0204  1506  0201  0205  0209 </t>
  </si>
  <si>
    <t>G/SPS/N/JPN/375</t>
  </si>
  <si>
    <t>Proposed maximum residue limits (MRLs) for the following agricultural chemical Pesticide: Propyzamide</t>
  </si>
  <si>
    <t xml:space="preserve">- Meat and edible meat offal (HS Code: 02.01  02.02  02.03  02.04  02.05  02.06  02.07  02.08 and 02.09) - Dairy produce  birds' eggs and natural honey (HS Code: 04.01  04.07 and 04.08) - Products of animal origin (HS Code: 05.04) - Edible vegetables and </t>
  </si>
  <si>
    <t xml:space="preserve"> HS codes: 0209  0407  0706  0408  0808  0708  0707  0201  0205  0907  1506  0807  1007  0504  0204  0702  0908  0208  0202  1207  0207  0814  0714  1502  0902  1202  1210  0810  0803  0703  0909  1004  1006  0805  0709  1002  0906  0710  0809  0806  0206  0802  0713  1008  0811  0904  1201  1001  0203  0801  1206  0701  1205  0401  0910  0905  1212  1005  1003  1204  0903  0804  0705  1501  0704 </t>
  </si>
  <si>
    <t>G/SPS/N/JPN/374</t>
  </si>
  <si>
    <t>Proposed maximum residue limits (MRLs) for the following agricultural chemical Pesticide: Epoxiconazole</t>
  </si>
  <si>
    <t>- Meat and edible meat offal (HS Code: 02.01  02.02  02.03  02.04  02.05  02.06  02.07  02.08 and 02.09) - Dairy produce  birds' eggs and natural honey (HS Code: 04.01  04.07 and 04.08) - Products of animal origin (HS Code: 05.04) - Edible fruits and nuts</t>
  </si>
  <si>
    <t xml:space="preserve"> HS codes: 1501  0804  1003  1212  0401  1001  0901  0203  1201  1008  1002  1004  1202  0803  1502  0207  0202  0206  0504  0201  0205  1007  1506  0204  0407  0408  0209  0208 </t>
  </si>
  <si>
    <t>G/SPS/N/JPN/373</t>
  </si>
  <si>
    <t>Proposed maximum residue limits (MRLs) for the following agricultural chemical Pesticide: Propiconazole</t>
  </si>
  <si>
    <t xml:space="preserve"> HS codes: 0208  0209  0408  0708  0407  0707  0204  0706  1506  0907  1007  0908  0808  0807  0205  0201  0504  0811  0207  1207  0202  0714  1502  0814  1210  0803  0809  0810  1202  0703  0909  0709  0904  1004  0806  1008  0710  1002  0906  0702  0206  0802  0713  1201  0203  1001  0901  0701  0801  1205  0910  0401  1206  0902  1006  0905  0805  1005  1212  1204  0903  1003  0804  0704  0705  1501 </t>
  </si>
  <si>
    <t>G/SPS/N/JPN/372</t>
  </si>
  <si>
    <t>Revision of indicator value for diarrhetic shellfish toxin (Okadaic acid group) in Bivalves.</t>
  </si>
  <si>
    <t>Revising indicator value for diarrhetic shellfish toxin for Bivalves  which is used to judge compliance with the provision of Article 6 (2) of the Food Sanitation Law.</t>
  </si>
  <si>
    <t>Bivalves (HS Code: 03.07)</t>
  </si>
  <si>
    <t>G/SPS/N/JOR/24/Add.1</t>
  </si>
  <si>
    <t>Live poultry and poultry meat</t>
  </si>
  <si>
    <t>G/SPS/N/RUS/79</t>
  </si>
  <si>
    <t>Letter of the Federal Service for the Veterinary and Phytosanitary Surveillance No. FS-SA-8/19371 as of 9 October 2014</t>
  </si>
  <si>
    <t xml:space="preserve"> This letter allows import of pork products from four enterprises in Ukraine. Moreover  the following conditions should be carried out: 1.  Import of pork is only permitted for the carcasses and half carcasses with veterinary stamps   2. The Annex should be issued in addition to the veterinary certificate. This Annex should confirm that the raw materials from which the products are manufactured  produced at the enterprises located in the regions of Ukraine be free from ASF. Moreover  the information on the results of monitoring studies on the ASF should be included in this Annex. </t>
  </si>
  <si>
    <t>Pork products</t>
  </si>
  <si>
    <t>G/SPS/N/VNM/64</t>
  </si>
  <si>
    <t>Draft of Circular promulgating the procedures on quarantine of aquatic animals and aquatic animal's products</t>
  </si>
  <si>
    <t>The Draft Circular replaces Circular 06/2010/TT-BNNPTNT. It stipulates regulations and procedures for the quarantine of aquatic animal and products thereof for the purposes of domestic consumption  import  export  temporary import for re-export  temporary export for re-import and transiting in Viet Nam's territory  with the objective of simplifying the administrative procedures for facilitating trade.</t>
  </si>
  <si>
    <t>Aquatic animals and products thereof</t>
  </si>
  <si>
    <t xml:space="preserve"> HS codes: 0307  0302  0303  0301  0306  0304 </t>
  </si>
  <si>
    <t>G/SPS/N/EU/88/Add.1</t>
  </si>
  <si>
    <t>Feed additives included in Taric (HS code: 230990)</t>
  </si>
  <si>
    <t>G/SPS/N/EU/99</t>
  </si>
  <si>
    <t>Commission Implementing Regulation (EU) No 1021/2014 of 26 September 2014 amending Annex I to Regulation (EC) No 669/2009 Implementing Regulation (EC) No 882/2004 of the European Parliament and of the Council as regards the increased level of official controls on imports of certain feed and food of non-animal origin (Text with EEA relevance)</t>
  </si>
  <si>
    <t>The Regulation reviews the list of imports of feed and food of non-animal origin which are subject to an increased level of official controls. The changes concern the removal of the following products from the list: frozen strawberries and pomelos from China. The changes also concern the inclusion of the following products in the list: aubergines  Chinese celery and yardlong beans from Cambodia  sesamum seeds from India  and dragon fruit from Viet Nam.</t>
  </si>
  <si>
    <t xml:space="preserve"> HS codes: 3507  0902  1207  071080  070960  09109  080620  070810  121190  070820  1202  110630  070990  080540  080510  080610  081010  090420  140490  070490  071022  081110  081090  070930  71022  070940  090810  120740  20089  081310  071339  20081 </t>
  </si>
  <si>
    <t>Aflatoxins  Animal feed  Bacteria  Contaminants  Food additives  Food safety  Human health  Maximum residue limits (MRLs)  Mycotoxins  Ochratoxin  Pesticides  Salmonella  Toxins</t>
  </si>
  <si>
    <t>G/SPS/N/NIC/87</t>
  </si>
  <si>
    <t>NTON 11 045 - 14 Norma Técnica Obligatoria Nicaragüense. Certificación de Semilla Sexual. Café (Coffea arabica L.)  (Nicaraguan Mandatory Technical Standard (NTON) No. 11 045 – 14: Certification of botanical seeds. Coffee (Coffea arabica L.)).</t>
  </si>
  <si>
    <t>The notified Technical Standard establishes the procedures  requirements and phytosanitary and quality specifications to be met during the production  packaging  storage  distribution and marketing of botanical seeds of coffee (Coffea arabica L.) for the purpose of the certification of these products. The Standard applies  for certification purposes  to all public or private  natural or legal persons engaged in the production  packaging  storage  distribution and marketing of botanical seeds of coffee (Coffea arabica L.).</t>
  </si>
  <si>
    <t>International Classification for Standards (ICS) code 65.020.20</t>
  </si>
  <si>
    <t>Packaging  Plant health  Seeds  Territory protection</t>
  </si>
  <si>
    <t>G/SPS/N/USA/2484/Add.1</t>
  </si>
  <si>
    <t>Meat  poultry  and egg products</t>
  </si>
  <si>
    <t>G/SPS/N/PHL/239/Add.1</t>
  </si>
  <si>
    <t>Live poultry (HS Code: 0105)  poultry meat (HS: Code 0207)  day-old chicks (HS Code: 0105.11)  eggs (HS Code: 0407)  and semen (HS Code: 0511.99)</t>
  </si>
  <si>
    <t xml:space="preserve"> HS codes: 0207  0105  0407  051199 </t>
  </si>
  <si>
    <t>G/SPS/N/USA/2702</t>
  </si>
  <si>
    <t>Discontinuing Export Certificates for Food Products That Contain Egg Products as an Ingredient</t>
  </si>
  <si>
    <t>The Food Safety and Inspection Service (FSIS) is announcing that it will no longer issue export certificates for Food and Drug Administration (FDA)-regulated prepared or manufactured food products that contain egg products as an ingredient because the Agricultural Marketing Service has instituted a program to provide this service. FSIS will discontinue issuing certificates on 12 November 2014.</t>
  </si>
  <si>
    <t>Egg Products</t>
  </si>
  <si>
    <t>G/SPS/N/CHN/689</t>
  </si>
  <si>
    <t>National Food Safety Standard of the P.R.C. Preserved Fruit</t>
  </si>
  <si>
    <t>This standard applies to all types of preserved fruits. This standard contains the terms and definitions  technical requirements  etc.</t>
  </si>
  <si>
    <t>Preserved Fruits</t>
  </si>
  <si>
    <t xml:space="preserve"> HS codes: 2006  2008  2001 </t>
  </si>
  <si>
    <t>G/SPS/N/CHN/688</t>
  </si>
  <si>
    <t>National Food Safety Standard of the P.R.C. Processed aquatic products of animal origin</t>
  </si>
  <si>
    <t>This standard applies to processed aquatic animal products which are made from fresh and frozen aquatic animal products as the main raw material  added with or without auxiliary ingredients.</t>
  </si>
  <si>
    <t>Processed aquatic products of animal origin</t>
  </si>
  <si>
    <t xml:space="preserve"> HS codes: 160416  160412 </t>
  </si>
  <si>
    <t>G/SPS/N/CHN/687</t>
  </si>
  <si>
    <t>National Food Safety Standard of the P.R.C. Fresh and frozen aquatic animal products</t>
  </si>
  <si>
    <t>This standard applies to edible fresh and frozen aquatic animal products  including marine and freshwater products.</t>
  </si>
  <si>
    <t>Fresh and frozen aquatic animal products</t>
  </si>
  <si>
    <t xml:space="preserve"> HS codes: 0307  0302  0304  0301 </t>
  </si>
  <si>
    <t>G/SPS/N/EEC/366/Add.1</t>
  </si>
  <si>
    <t>Crude and refined sunflower seed oil  falling within originating in or consigned from Ukraine (CN Codes 1512 11 91 or TARIC Code 1512 19 90 10)</t>
  </si>
  <si>
    <t xml:space="preserve"> HS codes: 151211  151219 </t>
  </si>
  <si>
    <t>G/SPS/N/USA/2699</t>
  </si>
  <si>
    <t>Proposed Rule: Imports: Beef from a Region in Argentina (Docket No. APHIS-2014-0032)</t>
  </si>
  <si>
    <t>The Animal and Plant Health Inspection Service (APHIS) is proposing to amend the regulations governing the importation of certain animals  meat  and other animal products to allow  under certain conditions  the importation of fresh (chilled or frozen) beef from a region in Argentina located north of Patagonia South and Patagonia North B  referred to as Northern Argentina. Based on the evidence in a recent risk assessment  we believe that fresh (chilled or frozen) beef can be safely imported from Northern Argentina provided certain conditions are met. This proposal would provide for the importation of beef from Northern Argentina into the United States while continuing to protect the United States against the introduction of foot-and-mouth disease. Federal Register Vol. 79  No. 168  Friday 29 August 2014  pages 51508-51514.</t>
  </si>
  <si>
    <t>beef</t>
  </si>
  <si>
    <t>G/SPS/N/UKR/98/Corr.1</t>
  </si>
  <si>
    <t>Animals susceptible to ASF  its products  raw materials and semen</t>
  </si>
  <si>
    <t xml:space="preserve"> HS codes: 0203  0103  0511 </t>
  </si>
  <si>
    <t>G/SPS/N/SLV/117</t>
  </si>
  <si>
    <t>RTS 13.02.02:14 Agua. Agua envasada (Salvadorian Technical Regulation (RTS) 13.02.02:14: Water. Bottled water)</t>
  </si>
  <si>
    <t>The notified text establishes the physical  chemical  microbiological and radiological requirements to be met by bottled water for human consumption  as well as the monitoring of good manufacturing practices to ensure the quality of such water.</t>
  </si>
  <si>
    <t>ICS number: 13.060.20</t>
  </si>
  <si>
    <t>Bacteria  Beverages  Food safety  Human health  Irradiation</t>
  </si>
  <si>
    <t>G/SPS/N/CAN/805/Add.1</t>
  </si>
  <si>
    <t>Raw beef products</t>
  </si>
  <si>
    <t>G/SPS/N/JPN/365</t>
  </si>
  <si>
    <t>Proposed maximum residue limits (MRLs) for the following agricultural chemical: Pesticide: Ethoxysulfuron.</t>
  </si>
  <si>
    <t>- Meat and edible meat offal (HS Codes: 02.01  02.02  02.03  02.04  02.05  02.06 and 02.08) - Dairy produce  birds' eggs and natural honey (HS Code: 04.01) - Products of animal origin (HS Code: 05.04) - Cereals (HS Code: 10.06) - Oleaginous fruits  miscel</t>
  </si>
  <si>
    <t xml:space="preserve"> HS codes: 1501  1212  0206  1006  0203  0401  0205  1506  0204  0201  0504  1502  0202  0208 </t>
  </si>
  <si>
    <t>G/SPS/N/JPN/364</t>
  </si>
  <si>
    <t xml:space="preserve"> Revision of the Standards and Specifications for Foods and Food Additives under the Food Sanitation Act (revision of agricultural chemical residue standards)</t>
  </si>
  <si>
    <t>Proposed maximum residue limits (MRLs) for the following agricultural chemical: Veterinary drug: Lincomycin.</t>
  </si>
  <si>
    <t xml:space="preserve"> HS codes: 0207  0202  0208  1502  0303  0504  0302  0201  1506  0204  0205  0307  0408  0407  0209  0306  0401  0203  0304  0206  1501 </t>
  </si>
  <si>
    <t>G/SPS/N/JPN/363</t>
  </si>
  <si>
    <t>Proposed maximum residue limits (MRLs) for the following agricultural chemical: Veterinary drug: Moxidectin.</t>
  </si>
  <si>
    <t>- Meat and edible meat offal (HS Codes: 02.01  02.02  02.04  02.05  02.06 and 02.08) - Dairy produce  birds' eggs and natural honey (HS Code: 04.01) - Products of animal origin (HS Code: 05.04) - Animal or vegetable fats and oils (HS Codes: 15.02 and 15.0</t>
  </si>
  <si>
    <t xml:space="preserve"> HS codes: 0206  0401  0208  1506  0204  0201  0205  0504  1502  0202 </t>
  </si>
  <si>
    <t>G/SPS/N/JPN/362</t>
  </si>
  <si>
    <t>Proposed maximum residue limits (MRLs) for the following agricultural chemical: Veterinary drug/feed additive: Bicozamycin.</t>
  </si>
  <si>
    <t>- Meat and edible meat offal (HS Codes: 02.01  02.02  02.03  02.06  02.07 and 02.09) - Fish and crustaceans  molluscs and other aquatic invertebrates (HS Codes: 03.02  03.03 and 03.04) - Dairy produce  birds' eggs and natural honey (HS Code: 04.01) - Prod</t>
  </si>
  <si>
    <t xml:space="preserve"> HS codes: 0202  0207  1502  0504  0302  0201  0209  0304  0203  0401  0303  0206  1501 </t>
  </si>
  <si>
    <t>G/SPS/N/TPKM/318/Add.1</t>
  </si>
  <si>
    <t>Live crustaceans and molluscs</t>
  </si>
  <si>
    <t xml:space="preserve"> HS codes: 0306  0307  03 </t>
  </si>
  <si>
    <t>G/SPS/N/RUS/74</t>
  </si>
  <si>
    <t>Letter of the Federal Service for the Veterinary and Phytosanitary Surveillance No. FS-CA-8/15953 as of 22 August 2014</t>
  </si>
  <si>
    <t>This letter allows import of horse meat  horse by-products  horse fats from four enterprises in Mexico.</t>
  </si>
  <si>
    <t>Horse meat  horse by-products  horse fats</t>
  </si>
  <si>
    <t xml:space="preserve"> HS codes: 0205  0206 </t>
  </si>
  <si>
    <t>G/SPS/N/CAN/867</t>
  </si>
  <si>
    <t>Notice of Modification to the List of Permitted Preservatives to Modify the Maximum Level of Use of Potassium Sorbate as a Class 3 Preservative in Cakes  Croissants  Danish Pastries and Muffins</t>
  </si>
  <si>
    <t>Health Canada's Food Directorate completed a detailed safety assessment the use of potassium sorbate as a preservative at a maximum level of use of 3 500 p.p.m. in cakes  croissants  Danish pastries and muffins.  Potassium sorbate is already permitted for use in Canada as a class 2 and a class 3 preservative in the List of Permitted Preservatives in a variety of foods  including in unstandardized foods (which include cakes  croissants  Danish pastries and muffins) at a maximum level of use of 1 000 p.p.m. As no safety concerns were raised through this assessment  the Department has enabled the food additive use described in the information document by updating the List of Permitted Preservatives  effective 20 August 2014. The purpose of this communication is to publically announce the Department's decision in this regard and to provide the appropriate contact information for any inquiries or for those wishing to submit any new scientific information relevant to the safety of this food additive. Health Canada's Food Directorate is committed to reviewing any new scientific information on the safety in use of any food additive  including potassium sorbate. Anyone wishing to submit new scientific information on the use of this additive or to submit any inquiries may do so in writing  by regular mail or electronically.</t>
  </si>
  <si>
    <t>Potassium sorbate (ICS Codes: 67.220.20  67.060)</t>
  </si>
  <si>
    <t>G/SPS/N/USA/2371/Add.1</t>
  </si>
  <si>
    <t>Poultry</t>
  </si>
  <si>
    <t>G/SPS/N/RUS/73</t>
  </si>
  <si>
    <t>Draft of the Eurasian Economic Commission Collegium Decision on amendments to Common veterinary (veterinary and sanitary) requirements for goods subject to veterinary control (supervision)  adopted by the Customs Union Commission Decision as of 18 June 2010 No. 317</t>
  </si>
  <si>
    <t>This document introduces new Chapter to Common veterinary (veterinary and sanitary) requirements for goods  subject to veterinary control (supervision). These requirements will be applied for import of laboratory animals (mice  rats  guinea-pigs  rabbits)  its embryos  birds' embryos  sperm and cell culture. This document also introduces amendments to the Chapter 35 of the mentioned Requirements. This Chapter is amended by norms for feed and feed additives tests for presence of botulinum toxin.</t>
  </si>
  <si>
    <t>HS Code(s): 0106  2309 Laboratory animals (mice  rats  guinea-pigs  rabbits)  its embryos  birds' embryos  sperm and cell culture  feed and feed additives</t>
  </si>
  <si>
    <t xml:space="preserve"> HS codes: 0106  2309 </t>
  </si>
  <si>
    <t>Animal feed  Animal health  Contaminants  Feed additives  Toxins</t>
  </si>
  <si>
    <t>G/SPS/N/RUS/72</t>
  </si>
  <si>
    <t>Letter of the Federal Service for the Veterinary and Phytosanitary Surveillance No. FS-EN-8/14569 as of 6 August 2014</t>
  </si>
  <si>
    <t>This letter allows import of beef (27 enterprises)  beef by-products (31 enterprises)  poultry (27 enterprises)  pork and pork by-products (4 enterprises)  milk and milk products (2 enterprises) from Brazil.</t>
  </si>
  <si>
    <t>HS Code(s):  0202  0206  0207  0203  0401  0402  0403  0404  0405  0406</t>
  </si>
  <si>
    <t xml:space="preserve"> HS codes: 0401  0202  0207  0402  0404  0203  0403  0206  0405  0406 </t>
  </si>
  <si>
    <t>G/SPS/N/QAT/48</t>
  </si>
  <si>
    <t>"Canned Strawberries"</t>
  </si>
  <si>
    <t>Canned strawberries (ICS Code: 67.080)</t>
  </si>
  <si>
    <t xml:space="preserve"> HS codes: 200880 </t>
  </si>
  <si>
    <t>G/SPS/N/ECU/154</t>
  </si>
  <si>
    <t>Propuesta de requisitos fitosanitarios para importación de granos verdes de café (Coffea canephora) para la industria procedente de Togo (Draft phytosanitary requirements governing the importation into Ecuador of green coffee (Coffea canephora) beans for industrial processing from Togo)</t>
  </si>
  <si>
    <t>Draft phytosanitary requirements governing the importation into Ecuador of green coffee (Coffea canephora) beans for industrial processing from Togo.</t>
  </si>
  <si>
    <t>G/SPS/N/JPN/360</t>
  </si>
  <si>
    <t xml:space="preserve">Revisions of the Cabinet Office Ordinance under the Food Sanitation Act (Amendments of the labelling standard for milk products) </t>
  </si>
  <si>
    <t>Amendment of labelling standards for milk products (natural cheeses (soft and semi-hard)  fermented milk and fermented milk drink) in order to determine which standard apply to each milk product.</t>
  </si>
  <si>
    <t>Fermented milk (HS Code: 04.03)  natural cheeses (HS Code: 04.06)</t>
  </si>
  <si>
    <t xml:space="preserve"> HS codes: 0406  0403 </t>
  </si>
  <si>
    <t xml:space="preserve"> HS codes: 0103  0203  0511 </t>
  </si>
  <si>
    <t>G/SPS/N/PER/542/Add.2</t>
  </si>
  <si>
    <t xml:space="preserve"> HS codes: 09  090111 </t>
  </si>
  <si>
    <t>G/SPS/N/AUS/343/Add.1</t>
  </si>
  <si>
    <t>Raw milk products sold in Australia (both imported and domestically produced) where it can be demonstrated: - that the intrinsic physico-chemical characteristics of the raw milk product do not support the growth of pathogens  and - there is no net increase in pathogen levels during processing. Raw milk products are dairy products made with raw milk  but do not include milk.</t>
  </si>
  <si>
    <t>G/SPS/N/JPN/359</t>
  </si>
  <si>
    <t>Establishment of indicator value for Aflatoxin M1 for Milk</t>
  </si>
  <si>
    <t>Setting indicator value for Aflatoxin M1 for milk  which is used to judge compliance with the provision of Article 6 (2) of the Food Sanitation Law.</t>
  </si>
  <si>
    <t>Milk (HS Code: 04.01)</t>
  </si>
  <si>
    <t>G/SPS/N/USA/2686</t>
  </si>
  <si>
    <t>Proposed Rule: Restrictions on the Importation of Fresh Pork and Pork Products from a Region in Mexico (Docket No. APHIS-2013-0061)</t>
  </si>
  <si>
    <t>The Animal and Plant Health Inspection Service (APHIS) is proposing to amend the regulations governing the importation of animals and animal products to define a low-risk classical swine fever region in Mexico from which we would allow the importation of fresh pork and pork products under certain conditions. Under this proposed rule  such pork and pork products would have to be derived from swine raised on farms meeting stringent sanitary and biosecurity requirements. We would also provide safeguards against commingling of the swine and the pork and pork products with animals and products that do not meet our proposed requirements. Establishments that slaughter the swine from which the pork or pork products are derived would have to allow periodic inspection and evaluation of their facilities  records  and operations by the Animal and Plant Health Inspection Service. This proposed rule would relieve some restrictions on the importation of pork and pork products from Mexico while continuing to protect against the introduction of classical swine fever into the United States.  Federal Register Vol. 79  No. 145  Tuesday  29 July 2014  pages 43974-43980.</t>
  </si>
  <si>
    <t>Pork and pork products</t>
  </si>
  <si>
    <t>G/SPS/N/CAN/787/Add.1</t>
  </si>
  <si>
    <t>Ice structuring protein (ICS Codes: 67.220  67.100.40)</t>
  </si>
  <si>
    <t xml:space="preserve"> HS codes: 2105 </t>
  </si>
  <si>
    <t>G/SPS/N/CAN/842</t>
  </si>
  <si>
    <t>Notice of Modification to the List of Permitted Food Enzymes to Enable the Use of Protease Obtained from Bacillus subtilis Raá1102 as a Food Enzyme in Bread  Flour  Whole Wheat Flour  and Unstandardized Bakery Products</t>
  </si>
  <si>
    <t>Health Canada's Food Directorate completed a detailed safety assessment of the use of protease obtained from Bacillus subtilis Raá1102 as a food enzyme at a maximum level of use consistent with good manufacturing practice in bread  flour  whole wheat flour and unstandardized bakery products.    This protease is intended to be used in the prevention or delay of staling after baking at mid-high baking temperatures and is added to the flour with the intent to improve the freshness of the bread during its regular shelf-life. Protease is already permitted for use in Canada as a food enzyme in bread  flour  whole wheat flour and unstandardized bakery products. As no safety concerns were raised through this assessment  the Department has enabled the food additive use described in the information document by updating the List of Permitted Food Enzymes. The purpose of this communication is to publically announce the Department's decision in this regard and to provide the appropriate contact information for any inquiries or for those wishing to submit any new scientific information relevant to the safety of this food additive. Health Canada's Food Directorate is committed to reviewing any new scientific information on the safety in use of any food additive  including protease. Anyone wishing to submit new scientific information on the use of this additive or to submit any inquiries may do so in writing  by regular mail or electronically.</t>
  </si>
  <si>
    <t>Protease (ICS Codes: 67.220  67.060)</t>
  </si>
  <si>
    <t>G/SPS/N/CAN/841</t>
  </si>
  <si>
    <t>Notice of Modification to the List of Permitted Food Additives with Other Generally Accepted Uses to Enable the Use of Ice Structuring Protein to Modify the Texture of Ice Cream  Ice Milk and Sherbet</t>
  </si>
  <si>
    <t>Health Canada's Food Directorate completed a detailed safety assessment of the use of ice structuring protein to modify the texture of unstandardized ice cream  ice milk and sherbet.   Ice structuring protein type III is a food additive that is currently permitted for use in Canada to modify the texture of unstandardized edible ices and unstandardized frozen desserts. As no safety concerns were raised through this assessment  the Department has enabled the food additive use described in the information document by updating the List of Permitted Food Additives with Other Generally Accepted Uses. The purpose of this communication is to publically announce the Department's decision in this regard and to provide the appropriate contact information for any inquiries or for those wishing to submit any new scientific information relevant to the safety of this food additive. Health Canada's Food Directorate is committed to reviewing any new scientific information on the safety in use of any food additive  including ice structuring protein. Anyone wishing to submit new scientific information on the use of this additive or to submit any inquiries may do so in writing  by regular mail or electronically.</t>
  </si>
  <si>
    <t>G/SPS/N/AUS/343</t>
  </si>
  <si>
    <t>2nd Call for Submissions for  Proposal P1022 - Primary Production &amp; Processing Requirements for Raw Milk Products</t>
  </si>
  <si>
    <t>Proposal P1022 has been prepared to assess additional requirements for milk production  transport and processing for the safe production of raw milk products  where it can be demonstrated that the intrinsic physico-chemical characteristics of the raw milk product do not support the growth of pathogens  and there is no net increase in pathogen levels during processing. FSANZ is consulting on draft variations to Standards 4.2.4 - Primary Production and Processing Standard for Dairy Products  4.2.4A - Primary Production and Processing Standard for Specific Cheeses and 1.6.1- Microbiological Limits.   All proposals to change the Australia New Zealand Food Standards Code  must be assessed in the context of the following objectives: (a) the protection of public health and safety  (b) the provision of adequate information relating to food to enable consumers to make informed choices  and (c) the prevention of misleading or deceptive conduct.</t>
  </si>
  <si>
    <t>Bacteria  Food safety  Human health  Labelling</t>
  </si>
  <si>
    <t>G/SPS/N/RUS/66</t>
  </si>
  <si>
    <t xml:space="preserve">Letter of the Federal Service for Veterinary and Phytosanitary Supervision No. FS-NF- 8/11654 as of 2 July 2014 </t>
  </si>
  <si>
    <t>This letter allows import of beef trimming  meat crops  esophagus meat  meat edible by-products from France to the Russian Federation.</t>
  </si>
  <si>
    <t>Beef trimming  meat crops  esophagus meat  meat edible by-products</t>
  </si>
  <si>
    <t xml:space="preserve"> HS codes: 0201  0206 </t>
  </si>
  <si>
    <t>G/SPS/N/RUS/65</t>
  </si>
  <si>
    <t>Letter of the Federal Service for Veterinary and Phytosanitary Supervision No. FS-NF- 8/12388 as of 10 July 2014</t>
  </si>
  <si>
    <t>This letter allows import of beef trimming  meat crops  esophagus meat  meat edible by-products from Lithuania  Netherlands and Denmark to the Russian Federation. Import and transit through the territory of the Russian Federation are permitted only with the prior notification and only in sealed vehicles in the country of origin.</t>
  </si>
  <si>
    <t xml:space="preserve"> HS codes: 0206  0201 </t>
  </si>
  <si>
    <t>G/SPS/N/JPN/357</t>
  </si>
  <si>
    <t>Proposed maximum residue limits (MRLs) for the following agricultural chemicals: Pesticide/veterinary drug/feed additive: Oxytetracycline  Veterinary drug/feed additive: Chlortetracycline and Tetracycline.</t>
  </si>
  <si>
    <t xml:space="preserve"> HS codes: 0903  0705  1501  0704  0205  0302  1506  0204  0201  0807  0907  0303  0908  0504  0706  0707  0808  0407  0408  0209  0207  0307  0208  0202  0814  1502  0714  0904  0206  0710  0703  0909  0906  0709  0805  0401  0809  0810  0701  0910  0905  0306  0304  0203 </t>
  </si>
  <si>
    <t>Animal feed  Feed additives  Food safety  Human health  Maximum residue limits (MRLs)  Pesticides  Veterinary drugs</t>
  </si>
  <si>
    <t>G/SPS/N/JPN/356</t>
  </si>
  <si>
    <t>Proposed maximum residue limits (MRLs) for the following agricultural chemical: Pesticide: Quinoclamine.</t>
  </si>
  <si>
    <t>- Fish and crustaceans  molluscs and other aquatic invertebrates (HS Codes: 03.02  03.03 and 03.04) - Edible vegetables and certain roots and tubers (HS Codes: 07.02  07.03  07.04  07.05  07.06  07.07  07.08  07.09 and 07.10) - Edible fruits and nuts  pee</t>
  </si>
  <si>
    <t xml:space="preserve"> HS codes: 0304  1006  0905  0910  0710  0709  0906  0909  0703  0303  0904  0814  0707  0706  0708  0908  0702  0907  0302  0704  0705  0903 </t>
  </si>
  <si>
    <t>G/SPS/N/JPN/355</t>
  </si>
  <si>
    <t>Proposed maximum residue limits (MRLs) for the following agricultural chemical: Pesticide: Propamocarb.</t>
  </si>
  <si>
    <t xml:space="preserve"> HS codes: 0903  0705  0704  1501  1212  0204  0807  1506  0702  0201  0205  0504  0407  0706  0707  0408  0202  0209  0208  0207  1502  0810  0703  1006  0206  0811  0710  0709  0910  0401  0203  0701 </t>
  </si>
  <si>
    <t>Animal diseases  Animal feed  Animal health  Pest or Disease free Regions</t>
  </si>
  <si>
    <t>G/SPS/N/JPN/354</t>
  </si>
  <si>
    <t>Proposed maximum residue limits (MRLs) for the following agricultural chemical: Pesticide: Dimethomorph.</t>
  </si>
  <si>
    <t xml:space="preserve"> HS codes: 1201  0203  0905  0910  0401  0701  0709  0806  0906  0710  0909  0811  0904  0206  0713  0805  0703  1210  0810  0814  1502  0208  0207  0202  0209  0407  0708  0201  0707  0408  0204  0504  0908  0702  0907  0807  1506  0205  1501  0704  0705  0804  0903 </t>
  </si>
  <si>
    <t>G/SPS/N/CAN/840</t>
  </si>
  <si>
    <t>Proposed Regulations Amending the Maple Products Regulations (MPR)</t>
  </si>
  <si>
    <t>Canada is proposing to amend the current Maple Products Regulations under the Canada Agricultural Products Act to modernize the definition  the grade and colour class standards  and some label requirements for maple syrup. These proposed regulatory amendments would also require production codes or lot numbers or both to improve the traceability of maple products when food safety concerns arise.</t>
  </si>
  <si>
    <t>Maple syrup (HS Code: 17.02.20)</t>
  </si>
  <si>
    <t>Food safety  Human health  Labelling  Traceability</t>
  </si>
  <si>
    <t>G/SPS/N/JPN/353</t>
  </si>
  <si>
    <t>Revision of Specifications and Standards for Food  Food Additives  etc. and the Ministerial Ordinance on Milk and Milk Products Concerning Compositional Standards  etc. (standard for Listeria monocytogenes)</t>
  </si>
  <si>
    <t>Setting standard for L. monocytogenes for unheated processed meat products and natural cheeses (soft and semi-hard).</t>
  </si>
  <si>
    <t>- Unheated processed meat products (HS Code: 02.10) - Natural cheeses (HS Code: 04.06)</t>
  </si>
  <si>
    <t xml:space="preserve"> HS codes: 0406  0210 </t>
  </si>
  <si>
    <t>G/SPS/N/TPKM/318</t>
  </si>
  <si>
    <t>The amendment of Quarantine Requirements for the Importation of Live Crustaceans and Molluscs</t>
  </si>
  <si>
    <t>The Requirements cover animal health control and regulate the importation of live crustaceans and molluscs. These requirements have been implemented since 1st September 2011. Acute hepatopancreatic necrosis syndrome (AHPNS) is a new emerging disease in shrimp  first reported in 2009  and caused high mortalities of shrimp in some asian countries. In order to control and prevent AHPNS from introduction  AHPNS has been designated as quarantine inspection disease of the three susceptible species listed in table 1 of the Requirements (Litopenaeus vannamei  Penaeus monodon and Penaeus chinensis). Excluding table 1 of the Requirements  the other part of the Requirements remains unchanged.</t>
  </si>
  <si>
    <t xml:space="preserve"> HS codes: 0307  03  0306 </t>
  </si>
  <si>
    <t>G/SPS/N/ARE/40</t>
  </si>
  <si>
    <t>Quarantine measures to regulate the importation of live sheep and goat and their products originating from Mexico</t>
  </si>
  <si>
    <t>In compliance with the Ministerial Decree Number (460) of the year 2001 concerning the implementing regulation for the quarantine regulation in the GCC countries and according to animal health status in Mexico  the Ministry of Environment and Water applies a regulatory requirement for importation of live cattle  sheep and goats and their products from Mexico as follows: The imported live cattle  sheep and goats should be accompanied by veterinary health certificate attesting that:  1. the animals were inspected by official veterinarian on the day of shipment and no clinical diseases were founded  2. the animals were tested for caprine and ovine brucellosis/ bovine brucellosis during the quarantine period with negative result  3. the animals were protected from Culicoides attacks in a vector-protected establishment for at least 28 days prior to shipment and during transportation to the place of shipment  and were subjected during that period to a serological test for Blue Tongue  with negative results  or 4. the animals were vaccinated  at least 60 days before shipment  against all serotypes whose presence in the country of origin.</t>
  </si>
  <si>
    <t>Live cattle  sheep and goats and their products</t>
  </si>
  <si>
    <t xml:space="preserve"> HS codes: 0204  0104 </t>
  </si>
  <si>
    <t>Animal diseases  Animal health  Zoonoses</t>
  </si>
  <si>
    <t>G/SPS/N/ARE/39</t>
  </si>
  <si>
    <t>Quarantine measures to regulate the importation of live sheep and goat and their products originating from Ukraine</t>
  </si>
  <si>
    <t>n compliance with the Ministerial Decree Number (460) of the year 2001 concerning the implementing regulation for the quarantine regulation in the GCC countries and according to animal health status in Ukraine  the Ministry of Environment and Water applies a regulatory requirement for importation of live sheep and goats and their products from Ukraine as follows: The imported live sheep and goats should be accompanied by veterinary health certificate attesting that:  1. the animals were inspected by official veterinarian on the day of shipment and no clinical diseases were founded including anthrax  2. the animals were originated from areas free from anthrax for at least twenty (20) days prior to export/ or were vaccinated against anthrax not less than twenty (20) days and not more than six (6) months prior to shipment.</t>
  </si>
  <si>
    <t>Live sheep and goat and their products</t>
  </si>
  <si>
    <t>G/SPS/N/ARE/38</t>
  </si>
  <si>
    <t>Quarantine measures to regulate the importation of live sheep and goat and their products originating from Moldova</t>
  </si>
  <si>
    <t>In compliance with the Ministerial Decree Number (460) of the year 2001 concerning the implementing regulation for the quarantine regulation in the GCC countries and according to animal health status in Moldova  the Ministry of Environment and Water applies a regulatory requirement for importation of live sheep and goats and their products from Moldova as follows: The imported live sheep and goats should be accompanied by veterinary health certificate attesting that:  1. the animals were originated from areas free from anthrax for at least twenty (20) days prior to export/ or were vaccinated against anthrax not less than twenty (20) days and not more than six (6) months prior to shipment  2. the animals were inspected by official veterinarian during 28 hour prior to shipment and no clinical diseases were founded including Q fever and anthrax.</t>
  </si>
  <si>
    <t>G/SPS/N/ARE/37</t>
  </si>
  <si>
    <t>Quarantine measures to regulate the importation of live sheep and goat and their products originating from Bosnia and Herzegovina</t>
  </si>
  <si>
    <t>In compliance with the Ministerial Decree Number (460) of the year 2001 concerning the implementing regulation for the quarantine regulation in the GCC countries and according to animal health status in Bosnia and Herzegovina  the Ministry of Environment and Water applies a regulatory requirement for importation of live sheep and goats and their products from Bosnia and Herzegovina as follows: The imported live sheep and goats should be accompanied by veterinary health certificate attesting that:  1. the animals were originated from areas free from anthrax for at least twenty (20) days prior to export/ or were vaccinated against anthrax not less than twenty (20) days and not more than six (6) months prior to shipment  2. the animals were inspected by official veterinarian during 28 hour prior to shipment and no clinical diseases were founded including Q fever and anthrax  the animals were tested for caprine and ovine brucellosis during the quarantine period with negative result.</t>
  </si>
  <si>
    <t xml:space="preserve"> HS codes: 0104  0204 </t>
  </si>
  <si>
    <t>G/SPS/N/ARE/36</t>
  </si>
  <si>
    <t>Quarantine measures to regulate the importation of live sheep and goat and their products originating from Georgia</t>
  </si>
  <si>
    <t>In compliance with the Ministerial Decree Number (460) of the year 2001 concerning the implementing regulation for the quarantine regulation in the GCC countries and according to animal health status in Georgia  the Ministry of Environment and Water applies a regulatory requirement for importation of live sheep and goats and their products from Georgia as follows: The imported live sheep and goats should be accompanied by veterinary health certificate attesting that:  1. the animals were originated from areas free from anthrax for at least twenty (20) days prior to export/ or were vaccinated against anthrax not less than twenty (20) days and not more than six (6) months prior to shipment  2. the animals were inspected by official veterinarian on the day of shipment and no clinical diseases were founded including anthrax  3. the animals were tested for caprine and ovine brucellosis during the quarantine period with negative result.</t>
  </si>
  <si>
    <t>G/SPS/N/ARE/35</t>
  </si>
  <si>
    <t>Quarantine measures to regulate the importation of live sheep and goat and their products originating from Serbia</t>
  </si>
  <si>
    <t>In compliance with the Ministerial Decree Number (460) of the year 2001 concerning the implementing regulation for the quarantine regulation in the GCC countries and according to animal health status in Serbia  the Ministry of Environment and Water applies a regulatory requirement for importation of live sheep and goats and their products from Serbia as follows: The imported live sheep and goats should be accompanied by veterinary health certificate attesting that:  1. the animals were originated from areas free from anthrax for at least twenty (20) days prior to export/ or were vaccinated against anthrax not less than twenty (20) days and not more than six (6) months prior to shipment  2. the animals were inspected by official veterinarian during 28 hour prior to shipment and no clinical diseases were founded including Q fever and anthrax  3. the animals were tested for caprine and ovine brucellosis during the quarantine period with negative result.</t>
  </si>
  <si>
    <t>G/SPS/N/ARE/34</t>
  </si>
  <si>
    <t>Quarantine measures to regulate the importation of live sheep and goat and their products originating from Azerbaijan</t>
  </si>
  <si>
    <t>In compliance with the Ministerial Decree Number (460) of the year 2001 concerning the implementing regulation for the quarantine regulation in the GCC countries and according to the animal health status in Azerbaijan  the Ministry of Environment and Water applies a regulatory requirement for importation of live sheep and goats and their products from Azerbaijan as follows: The imported live sheep and goats should be accompanied by veterinary health certificate attesting that: 1. the animals were originated from areas free from anthrax for at least twenty (20) days prior to export/ or were vaccinated against anthrax not less than twenty (20) days and not more than six (6) months prior to shipment  2. the animals were inspected by official veterinarian during 28 hours prior to shipment and no clinical diseases were founded including Q fever and anthrax  and the animals were tested for caprine and ovine brucellosis during the quarantine period with negative result.</t>
  </si>
  <si>
    <t>G/SPS/N/SAU/111</t>
  </si>
  <si>
    <t>The Kingdom of Saudi Arabia/The Cooperation Council for the Arab States of the Gulf Draft Technical Regulation for: "Smoked Fish  Smoke-Flavored Fish and Smoke-Dried Fish"</t>
  </si>
  <si>
    <t>Smoked fish  smoke-flavored fish and smoke-dried fish (ICS Code: 67.120.30)</t>
  </si>
  <si>
    <t>G/SPS/N/SAU/110</t>
  </si>
  <si>
    <t>The Kingdom of Saudi Arabia/The Cooperation Council for the Arab States of the Gulf Draft Technical Regulation for: "Red hot pepper paste (Harissa)"</t>
  </si>
  <si>
    <t>Red hot pepper paste (Harissa) (ICS Code: 67.040)</t>
  </si>
  <si>
    <t>G/SPS/N/SAU/108</t>
  </si>
  <si>
    <t>The Kingdom of Saudi Arabia/The Cooperation Council for the Arab States of the Gulf Draft Technical Regulation for: "Fresh Fruit Juice"</t>
  </si>
  <si>
    <t>This draft technical regulation applies to fresh fruit juice (unpasteurized). It specifies the definitions of the product and the quality requirements  sampling  methods of testing  transportation  storage and labelling.</t>
  </si>
  <si>
    <t>Fresh fruit juice (unpasteurized) (ICS Code: 67.080)</t>
  </si>
  <si>
    <t>G/SPS/N/SAU/116</t>
  </si>
  <si>
    <t>The Kingdom of Saudi Arabia/The Cooperation Council for the Arab States of the Gulf Draft Technical Regulation for: "Tamarind (pulp)"</t>
  </si>
  <si>
    <t>Tamarind (pulp) (ICS Code: 67.080)</t>
  </si>
  <si>
    <t xml:space="preserve"> HS codes: 081340 </t>
  </si>
  <si>
    <t>G/SPS/N/SAU/115</t>
  </si>
  <si>
    <t>The Kingdom of Saudi Arabia/The Cooperation Council for the Arab States of the Gulf Draft Technical Regulation for: "Canned Citrus Fruits"</t>
  </si>
  <si>
    <t>Canned citrus fruits (ICS Code: 67.080)</t>
  </si>
  <si>
    <t xml:space="preserve"> HS codes: 200830 </t>
  </si>
  <si>
    <t>G/SPS/N/SAU/114</t>
  </si>
  <si>
    <t>The Kingdom of Saudi Arabia/The Cooperation Council for the Arab States of the Gulf Draft Technical Regulation for: "Edible olive oil and olive pomace oil"</t>
  </si>
  <si>
    <t>Edible olive oil and olive pomace oil (ICS Code: 67.200)</t>
  </si>
  <si>
    <t>G/SPS/N/SAU/112</t>
  </si>
  <si>
    <t>The Kingdom of Saudi Arabia/The Cooperation Council for the Arab States of the Gulf Draft Technical Regulation for: "Frozen Fish Fillets"</t>
  </si>
  <si>
    <t>Frozen fish fillets (ICS Code: 67.120.30)</t>
  </si>
  <si>
    <t xml:space="preserve"> HS codes: 0304 </t>
  </si>
  <si>
    <t>G/SPS/N/EU/88</t>
  </si>
  <si>
    <t>Commission Implementing Regulation (EU) No 669/2014 of 18 June 2014 concerning the authorisation of calcium D-pantothenate and D-panthenol as feed additives for all animal species (Text with EEA relevance)</t>
  </si>
  <si>
    <t>D-pantothenate and D-panthenol have been authorised as feed additives for all animal species after a re-evaluation in the framework of Regulation (EU) No 1831/2003. The authorisation covers the use of these additives in all feedingstuffs and water for drinking. No maximum limits have been established.</t>
  </si>
  <si>
    <t>Honduras</t>
  </si>
  <si>
    <t>G/SPS/N/HND/52/Add.1</t>
  </si>
  <si>
    <t>Productos y subproductos avícolas</t>
  </si>
  <si>
    <t>G/SPS/N/ARE/33</t>
  </si>
  <si>
    <t>Ministerial Decree Number (361) of the year 2014 concerning lifting the ban on the importation of live ruminant and their products originating from FMD-free zone in South Africa</t>
  </si>
  <si>
    <t>Regarding the regain of FMD-free zone  where vaccination is not practised in South Africa in 2014  and in compliance with Article 8.6.2 Chapter 8.6 of the OIE Terrestrial Animal Health Code. The United Arab Emirates was lifting the ban on the importation of live ruminant and their products originating from FMD-free zone in South Africa.</t>
  </si>
  <si>
    <t>Live ruminant and their products</t>
  </si>
  <si>
    <t xml:space="preserve"> HS codes: 0201  0104  0204  0102 </t>
  </si>
  <si>
    <t>G/SPS/N/SAU/107</t>
  </si>
  <si>
    <t>The Kingdom of Saudi Arabia/The Cooperation Council for the Arab States of the Gulf Draft Technical Regulation for: "Canned Strawberries"</t>
  </si>
  <si>
    <t>G/SPS/N/SAU/105</t>
  </si>
  <si>
    <t>The Kingdom of Saudi Arabia/The Cooperation Council for the Arab States of the Gulf Draft Technical Regulation for: "Milk Products With Probiotics"</t>
  </si>
  <si>
    <t>Milk products with probiotics (ICS Code: 67.100)</t>
  </si>
  <si>
    <t>G/SPS/N/BRA/939</t>
  </si>
  <si>
    <t>Draft resolution that adopts provisions on the mandatory declaration in the label of packaged food  of recognized sources of food allergies or food intolerances in sensitive persons</t>
  </si>
  <si>
    <t xml:space="preserve">Draft resolution that adopts provisions on the mandatory declaration in the label of packaged food  of recognized sources of food allergies or food intolerances in sensitive persons. This resolution applies to food  ingredients  food additives  technological coadjuvants and raw material which are packaged in the absence of consumers  including those intended to be used exclusively for industrial processing and at food establishments. This resolution is complementary to the Resolution number 259  of 20 September 2002  which approves the technical regulation for labelling packaged food  and to the Law 10.674  of 16 May 2003  which establishes mandatory providing information on the presence of gluten in marketed food products. The following are recognized sources of food allergies or food intolerances in sensitive persons: I. Cereals containing gluten  namely wheat  rye  barley  oats and their hybridised strains  II. Crustaceans   III. Eggs  IV. Fish  V. Peanut  VI. Soy  VII. Milk  VIII. Almond (Prunus dulcis)  IX. Hazelnut (Corylus spp.)  X. Cashew nut (Anacardium occidentale)  XI. Brazil nuts (Bertholletia excelsa)  XII. Macadamia (Macadamia spp.)  XIII. Nut (Juglans spp.)  XIV. Pecan (Carya illinoensis)  XV. Pistachio (Pistacia vera L.)  and XVI. Sulphites (sulphur dioxide and its salts) in concentration equal to or greater than 10 (ten) parts per million (ppm)  expressed in sulphur dioxide. Alterations in the list provided here within can be made upon updates on Codex Alimentarius guidelines or scientific evidences showing the cause-effect of the food consumption and adverse events  its epidemiological magnitude and its severity.  The food  ingredients  additives  technological coadjuvants and raw materials which are packaged in absence of consumers  including those intended to be used for manufacturing and for food establishments must contain the declaration: Contains Gluten or Gluten Free  as appropriate.  Food that are  derives from or have been intentionally added of ingredients  food additives  technological coadjuvants or raw materiasl from recognized sources of food allergies or food intolerances described in sections II to XVI of article 4  in any quantity  must bring the declaration: Allergic: Contains (source names)  or Allergic: Contains derivatives of (source names)  as appropriate. In cases that food  ingredients  food additives  technological coadjuvants or raw materials have risks of causing incidental contamination from recognized sources of food allergies or food intolerances described in sections II to XV of article 4   must inform in its label the declaration: Allergic: May Contain (source names).  Declarations required at articles 6  7 and 8 of this Resolution must be grouped near the ingredients list  on the label  in a white background frame and in black characters of the same type  complying with height requirements established in the annex of this Resolution. This Resolution revokes Resolution RDC number 40 of 8 February 2002 which approves the technical regulation on labelling of packed food and beverage that contain gluten. </t>
  </si>
  <si>
    <t>I. Cereals containing gluten  namely wheat  rye  barley  oats and their hybridised strains  II. Crustaceans   III. Eggs  IV. Fish  V. Peanut  VI. Soy  VII. Milk  VIII. Almond (Prunus dulcis)  IX. Hazelnut (Corylus spp.)  X. Cashew nut (Anacardium occidentale)  XI. Brazil nuts (Bertholletia excelsa)  XII. Macadamia (Macadamia spp.)  XIII. Nut (Juglans spp.)  XIV. Pecan (Carya illinoensis)  XV. Pistachio (Pistacia vera L.)  and XVI. Sulphites (sulphur dioxide and its salts) in concentration equal to or greater than 10 (ten) parts per million (ppm)  expressed in sulphur dioxide.</t>
  </si>
  <si>
    <t xml:space="preserve"> HS codes: 0401  08012  1004  1002  08021  080250  08022  1001  0306  0407  08013  0302  1003  1201 </t>
  </si>
  <si>
    <t>G/SPS/N/PER/542/Add.1</t>
  </si>
  <si>
    <t>Modification of final date for comments  Pest or Disease free Regions  Pests  Plant health  Seeds</t>
  </si>
  <si>
    <t>G/SPS/N/ARE/32/Corr.1</t>
  </si>
  <si>
    <t>Live poultry (HS Code: 0105) and poultry product including poultry meat (HS Code: 0207)  day-old chicks (HS Code: 0105.11) and eggs (HS Code: 0407)</t>
  </si>
  <si>
    <t xml:space="preserve"> HS codes: 0407  0207  010511  0105 </t>
  </si>
  <si>
    <t>G/SPS/N/EU/33/Add.4</t>
  </si>
  <si>
    <t>G/SPS/N/JPN/351</t>
  </si>
  <si>
    <t>Revision of the Ministerial Ordinance on Milk and Milk Products Concerning Compositional Standards  etc. (Revision of Compositional Standard of Milk and Milk Products)</t>
  </si>
  <si>
    <t>Proposed revision of compositional standards for milk and milk products (raw milk  cow's milk  special milk  pasteurized goat's milk  composition modified milk  low fat milk  skimmed milk  fermented milk  fermented milk drink  and milk drink).</t>
  </si>
  <si>
    <t>Milk and milk products (HS Codes: 04.01  04.03)</t>
  </si>
  <si>
    <t xml:space="preserve"> HS codes: 0403  0401 </t>
  </si>
  <si>
    <t>G/SPS/N/SGP/26/Add.2</t>
  </si>
  <si>
    <t>All live birds  poultry and poultry products (heat-processed and canned poultry products are excluded)</t>
  </si>
  <si>
    <t xml:space="preserve"> HS codes: 0207  0105  0407  01063 </t>
  </si>
  <si>
    <t xml:space="preserve"> HS codes: 0102  0201 </t>
  </si>
  <si>
    <t>G/SPS/N/JPN/349</t>
  </si>
  <si>
    <t>Proposed maximum residue limits (MRLs) for the following agricultural chemical: Veterinary drug: Doxycycline.</t>
  </si>
  <si>
    <t>- Meat and edible meat offal (HS Codes: 02.01  02.02  02.03  02.06  02.07 and 02.09) - Fish and crustaceans  molluscs and other aquatic invertebrates (HS Codes: 03.02  03.03 and 03.04) - Products of animal origin (HS Code: 05.04) - Animal or vegetable fat</t>
  </si>
  <si>
    <t xml:space="preserve"> HS codes: 0304  0203  0303  1502  0202  0207  0209  0206  0504  0201  0302  1501 </t>
  </si>
  <si>
    <t>G/SPS/N/JPN/348</t>
  </si>
  <si>
    <t>Proposed maximum residue limits (MRLs) for the following agricultural chemical: Pesticide: Fenpyroximate.</t>
  </si>
  <si>
    <t xml:space="preserve"> HS codes: 1005  1212  1003  1204  0903  0705  0804  0704  1501  1801  0808  1506  0807  0204  0302  0205  0201  0907  0504  0908  1007  0702  0209  0408  0407  0707  0706  0708  0208  0307  0202  0207  1207  0814  1502  0714  1002  1008  0709  0710  0806  0906  0703  0909  0811  0206  0303  0802  0904  0713  1202  0809  0810  1006  0805  1210  1004  0803  1201  0203  1001  0901  0304  0801  1206  1205  0910  0701  0401  0306  0905  0902 </t>
  </si>
  <si>
    <t>G/SPS/N/JPN/347</t>
  </si>
  <si>
    <t xml:space="preserve"> HS codes: 0805  0905  1205  0910  0401  0304  0701  0801  1001  0203  1201  1202  0806  0909  1006  0803  0809  0703  0303  0906  0702  0810  1002  1008  1004  0710  0709  0904  0306  0902  0713  0802  0814  1502  0714  0202  0207  0307  0708  0407  0707  0204  0706  0408  0209  0208  0504  0206  0201  0205  1506  0808  0907  0908  1007  0302  0807  0704  1501  0705  0804  0903  1003  1212  1005 </t>
  </si>
  <si>
    <t>G/SPS/N/PHL/254</t>
  </si>
  <si>
    <t>Final Draft Philippine National Standards (PNS) Code of Agricultural Practice (GAP) on Rice</t>
  </si>
  <si>
    <t>The Code of Good Agricultural Practices for Rice (GAP Rice) is a set of consolidated safety and quality standards covering the production  harvesting and on-farm post-harvest handling and storage of paddy rice. This code of practice takes into account the Philippine GAP for Fruits and Vegetables and the Philippine GAP for Corn which is based on the concept of Hazard Analysis of Critical Control Points (HACCP) and quality management principles from farm to table continuum with emphasis on the following six key areas: a. Farm location  b. Farm environment  c. Farm structure and facility maintenance  d. Farming practices (land preparation  seed material  nutrient management  pest management  weed management  water management  harvest practices and post-harvest practices)  e. Workers' health and safety  and f. Farm management (e.g. farm records  traceability  staff training).</t>
  </si>
  <si>
    <t>HS Code: 1006</t>
  </si>
  <si>
    <t>G/SPS/N/PER/542</t>
  </si>
  <si>
    <t>Proyecto de Resolución Directoral busca establecer requisitos fitosanitarios de necesario cumplimento en la importación de semillas de café (Coffea spp.) de origen y procedencia países varios  (Draft Directorial Resolution laying down mandatory phytosanitary requirements governing the importation into Peru of coffee (Coffea spp.) seeds originating in and coming from certain countries)</t>
  </si>
  <si>
    <t>The notified draft Directorial Resolution sets out the phytosanitary requirements governing the importation into Peru of botanical coffee (Coffea spp.) seeds  established on the basis of a pest risk analysis.</t>
  </si>
  <si>
    <t>HS tariff subheading 0901.11.10.00: Coffee seeds</t>
  </si>
  <si>
    <t>Pest or Disease free Regions  Pests  Plant health  Seeds</t>
  </si>
  <si>
    <t>G/SPS/N/ARG/161/Add.1</t>
  </si>
  <si>
    <t>Complementos dietarios de uso veterinario</t>
  </si>
  <si>
    <t>G/SPS/N/TUR/44</t>
  </si>
  <si>
    <t>Turkish Food Codex Communiqué on Tea</t>
  </si>
  <si>
    <t>Black tea  green tea  flavoured black and green tea  and decaffeinated black and green tea excluding black and green tea to which dried herbs and/or fruits are added.</t>
  </si>
  <si>
    <t xml:space="preserve"> HS codes: 090230  090210 </t>
  </si>
  <si>
    <t>G/SPS/N/TUR/43</t>
  </si>
  <si>
    <t>Turkish Food Codex Communiqué on Coffee and Coffee Extracts</t>
  </si>
  <si>
    <t>This Communiqué has been prepared in compliance with the Council Directive 1999/4 on coffee and coffee extracts. The Communiqué covers: green coffee beans  roasted coffee beans  ground coffee and coffee extract  soluble coffee extract  soluble coffee and instant coffee. Furthermore  this Communiqué covers the provisions on definitions of green coffee beans  roasted coffee beans and ground coffee  chemical properties of ground coffee. It also covers the chemical and physical characteristics of coffee extract  soluble coffee extract  soluble coffee or instant coffee. It does not cover "café torrefacto soluble"  other coffee products and chicory extracts.</t>
  </si>
  <si>
    <t>Coffee and coffee extracts</t>
  </si>
  <si>
    <t>G/SPS/N/PER/537</t>
  </si>
  <si>
    <t>Proyecto de Resolución Directoral busca establecer requisitos sanitarios de necesario cumplimento en la importación de carne de gallo o gallina frescos  refrigerados o congelados de origen y procedencia Chile (Draft Directorial Resolution establishing the mandatory health requirements governing the importation into Peru of fresh  chilled or frozen meat of fowls of the species Gallus domesticus originating in and coming from Chile)</t>
  </si>
  <si>
    <t>Updated health requirements governing the importation into Peru of fresh  chilled or frozen meat of fowls of the species Gallus domesticus originating in and coming from Chile.</t>
  </si>
  <si>
    <t>Fresh  chilled or frozen meat of fowls of the species Gallus domesticus</t>
  </si>
  <si>
    <t>G/SPS/N/USA/2576/Add.1</t>
  </si>
  <si>
    <t>Cape gooseberry</t>
  </si>
  <si>
    <t xml:space="preserve"> HS codes: 081120 </t>
  </si>
  <si>
    <t>G/SPS/N/OMN/50</t>
  </si>
  <si>
    <t>High Fructose Syrup (42% and 55%)</t>
  </si>
  <si>
    <t>This Omani/Gulf draft technical regulation concerns high fructose syrup (42% and 55%).</t>
  </si>
  <si>
    <t>High fructose syrup (42% and 55%) (ICS Code: 67.180.20)</t>
  </si>
  <si>
    <t xml:space="preserve"> HS codes: 170250 </t>
  </si>
  <si>
    <t>G/SPS/N/OMN/49</t>
  </si>
  <si>
    <t>Canned Stone Fruits</t>
  </si>
  <si>
    <t>This Omani/Gulf draft technical regulation concerns canned stone fruits  and offered for direct consumption  including for catering purposes or for repacking if required.</t>
  </si>
  <si>
    <t>Canned stone fruits (ICS Code: 67.080)</t>
  </si>
  <si>
    <t>G/SPS/N/MYS/31</t>
  </si>
  <si>
    <t>Draft Amendment of Regulation 156 Fish and the Tenth Schedule  Food Regulations 1985</t>
  </si>
  <si>
    <t>The draft amendment is to permit use of 4-Hexylresorcinol as a permitted antioxidant for prevention of melanosis or black spots in fresh  chilled and frozen crustacean provided that residue in the final product does not contain more than 2 mg/kg of 4-Hexylresorcinol.</t>
  </si>
  <si>
    <t>Fish</t>
  </si>
  <si>
    <t>G/SPS/N/MYS/30</t>
  </si>
  <si>
    <t>Draft Amendment of Regulation 389B  Food Regulations 1985</t>
  </si>
  <si>
    <t>The draft amendment is to reflect the new regulation on Infant Formula for Medical Purposes.  There are specific conditions for the five subcategories consists of: i) Anti-regurgitation infant formula  ii) Lactose-free infant formula  iii) Soya-based infant formula  iv) Extensively hydrolysed protein infant formula  and v) Preterm formula.</t>
  </si>
  <si>
    <t>Infant formula for medical purposes</t>
  </si>
  <si>
    <t>G/SPS/N/MYS/29</t>
  </si>
  <si>
    <t>Draft Amendment of specific regulations under the Food Regulations 1985: i) Regulation 43 Wheat flour ii) Regulation 43A Bread four iii) Regulation 43B Atta flour iv) Regulation 44 Chlorinated bleached wheat flour v) Regulation 45 Gluten wheat flour vi) Regulation 46 Protein-increased wheat flour vii) Regulation 47 Self raising flour</t>
  </si>
  <si>
    <t>The proposal includes amendment to existing regulation and proposed new regulation. The draft amendment is to amend all standards pertaining to wheat flour including product specification and permitted food additives used in each related wheat flour.   New proposed regulations for bread flour and atta flour are also included in this draf amendment.</t>
  </si>
  <si>
    <t>Flour</t>
  </si>
  <si>
    <t>G/SPS/N/HND/52</t>
  </si>
  <si>
    <t>Reglamento de Inspección  Aprobación y Certificación Sanitaria de Productos y Subproductos Avícolas (Regulation on the inspection  approval and health certification of poultry products and by-products)</t>
  </si>
  <si>
    <t>The notified Regulation establishes provisions concerning inspection  approval and health certification in establishments engaged in the production  processing  storage and/or importation of meat products and by-products of avian origin.</t>
  </si>
  <si>
    <t>Poultry products and by-products</t>
  </si>
  <si>
    <t xml:space="preserve"> HS codes: 0407  0207  0511 </t>
  </si>
  <si>
    <t>Animal diseases  Animal health  Food safety  Human health  Zoonoses</t>
  </si>
  <si>
    <t>G/SPS/N/MEX/229/Add.1</t>
  </si>
  <si>
    <t>Fórmulas de inicio  sucedáneos de la leche materna  las fórmulas de continuación  las fórmulas para necesidades especiales de nutrición  y los alimentos y bebidas no alcohólicas para lactantes y niños de corta edad.  Así como los métodos de prueba</t>
  </si>
  <si>
    <t>G/SPS/N/JPN/344</t>
  </si>
  <si>
    <t>Proposed maximum residue limits (MRLs) for the following veterinary drug: Veterinary drug: danofloxacin.</t>
  </si>
  <si>
    <t xml:space="preserve">- Meat and edible meat offal (HS Codes: 02.01  02.02  02.03  02.04  02.05  02.06  02.07  02.08 and 02.09) - Dairy produce  birds' eggs and natural honey (HS Codes: 04.01  04.07 and 04.08) - Products of animal origin (HS Code: 05.04) - Animal or vegetable </t>
  </si>
  <si>
    <t xml:space="preserve"> HS codes: 0207  1502  0202  0208  0204  0504  1506  0205  0408  0201  0407  0209  0206  0401  0203  1501 </t>
  </si>
  <si>
    <t>G/SPS/N/JPN/343</t>
  </si>
  <si>
    <t>Proposed maximum residue limits (MRLs) for the following agricultural chemical: Pesticide: pyrimidifen.</t>
  </si>
  <si>
    <t>- Edible vegetables and certain roots and tubers (HS Codes: 07.03  07.04  07.05  07.06  07.09 and 07.10) - Edible fruits and nuts  peel of citrus/melons (HS Codes: 08.03  08.04  08.05  08.06  08.07  08.08  08.09  08.10  08.11 and 08.14) - Coffee  tea  mat</t>
  </si>
  <si>
    <t xml:space="preserve"> HS codes: 0903  0804  0705  0704  0905  0910  0805  0803  0810  0809  0811  0904  0806  0709  0906  0710  0703  0909  0706  0807  0907  0808  0908  0902  0814 </t>
  </si>
  <si>
    <t>G/SPS/N/JPN/342</t>
  </si>
  <si>
    <t>Proposed maximum residue limits (MRLs) for the following agricultural chemical: Pesticide: propargite.</t>
  </si>
  <si>
    <t xml:space="preserve"> HS codes: 1207  0207  0202  0714  0814  1502  0802  0713  0811  0206  0504  0201  0205  0302  1506  0808  1007  0907  0908  0407  0708  0204  0706  0707  0807  0209  0408  0208  0904  0709  0710  1004  0810  1008  0303  0906  0702  0703  1202  0806  0909  0809  0803  1210  0401  0910  1206  1205  0902  0905  0805  0701  0801  0304  1201  0203  1212  1005  1501  0704  1801  0705  0804  0903  1204 </t>
  </si>
  <si>
    <t>G/SPS/N/JPN/341</t>
  </si>
  <si>
    <t>Proposed maximum residue limits (MRLs) for the following agricultural chemical: Pesticide: flufenacet.</t>
  </si>
  <si>
    <t>- Meat and edible meat offal (HS Codes: 02.01  02.02  02.03  02.04  02.05  02.06 and 02.08) - Products of animal origin (HS Code: 05.04) - Edible vegetables and certain roots and tubers (HS Codes: 07.01  07.02  07.08  07.09 and 07.10) - Cereals (HS Codes:</t>
  </si>
  <si>
    <t xml:space="preserve"> HS codes: 1501  1003  1005  0203  1001  1201  0701  1206  0206  0710  0709  0708  1506  0204  0504  0205  0201  0702  1502  0208  0202 </t>
  </si>
  <si>
    <t>G/SPS/N/JPN/340</t>
  </si>
  <si>
    <t>Proposed maximum residue limits (MRLs) for the following agricultural chemical: Pesticide: famoxadone.</t>
  </si>
  <si>
    <t xml:space="preserve"> HS codes: 0207  0202  0814  0209  0208  0714  1502  0702  0201  0205  0504  0908  0907  0807  0808  0204  1506  0707  0708  0706  0408  0407  1210  0805  0803  0810  0909  0703  0809  0806  0709  0710  0906  0904  0802  0713  0811  0206  0905  0401  0910  0701  0801  1201  1001  0203  1003  1212  0903  0704  0705  0804  1501 </t>
  </si>
  <si>
    <t>G/SPS/N/JPN/345</t>
  </si>
  <si>
    <t>Amendments to the Enforcement Ordinance of the Standards of Feed and Feed Additives (Amendment of an agricultural chemical residue standard)</t>
  </si>
  <si>
    <t>Proposal for the establishment of the maximum residue limits (MRLs) for an agricultural chemical (Dicamba). Commodity (for feed) Proposed MRL (mg/kg) Current MRL (mg/kg) Barley 7 0.5 Wheat 2 0.5 Sorghum 4 3 Soybean  dry 10 - Soybean meal 10 -  Note: MRLs are expressed as: - the sum of dicamba  metabolite B (3 6-dichloro-2-hydroxybenzoic acid) and conjugate of metabolite B  calculated as dicamba for soybean meal and soybean  dry  - dicamba for barley  wheat and sorghum.</t>
  </si>
  <si>
    <t>Barley (HS Code: 10.03)  wheat (HS Code: 10.01)  sorghum (HS Code: 10.07)  soybean (HS Code: 12.01)  soybean meal (HS Code: 23.04) for feed</t>
  </si>
  <si>
    <t xml:space="preserve"> HS codes: 1201  1001  2304  1007  1003 </t>
  </si>
  <si>
    <t>Animal feed  Feed additives  Food safety  Human health  Maximum residue limits (MRLs)  Pesticides</t>
  </si>
  <si>
    <t>G/SPS/N/USA/2488/Add.2</t>
  </si>
  <si>
    <t>G/SPS/N/USA/396/Add.1</t>
  </si>
  <si>
    <t>Crustaceans and processed crustaceans</t>
  </si>
  <si>
    <t xml:space="preserve"> HS codes: 0306  1605 </t>
  </si>
  <si>
    <t>G/SPS/N/USA/2663</t>
  </si>
  <si>
    <t>Availability of FSIS Compliance Guidelines for Allergens and Ingredients of Public Health Concern: Identification  Prevention and Control  and Declaration through Labeling</t>
  </si>
  <si>
    <t>The Food Safety and Inspection Service (FSIS) is announcing the availability of guidance on allergens and other ingredients of public health concern that provides recommendations for identifying hazards when conducting a hazard analysis and to prevent and control hazards through hazard analysis and critical control point (HACCP) plans or Sanitation standard operating procedures (SOPs) or other prerequisite programs with respect to these substances. The emphasis of the guidelines is on meat and poultry products. The guidelines represent the best practice recommendations of FSIS  based on scientific and practical considerations. By following these guidelines  establishments are likely to ensure that product labels declare all ingredients  as required in the regulations  and that the product does not contain undeclared allergens or other undeclared ingredients.</t>
  </si>
  <si>
    <t>Allergens  Food safety  HACCP Plan requirements  Human health  Labelling</t>
  </si>
  <si>
    <t>G/SPS/N/BRA/492/Rev.2</t>
  </si>
  <si>
    <t>Requisitos Sanitários Brasileiros para Importação de Farinhas de Ruminantes Destinadas à Alimentação Animal (Sanitary requirements governing the importation into Brazil of ruminant-derived meal for animal feed).</t>
  </si>
  <si>
    <t>The notified draft text lays down the sanitary requirements governing the importation into Brazil of ruminant-derived meal for animal feed.</t>
  </si>
  <si>
    <t>Ruminant-derived meal for animal feed</t>
  </si>
  <si>
    <t xml:space="preserve"> HS codes: 230110 </t>
  </si>
  <si>
    <t>G/SPS/N/BRA/932</t>
  </si>
  <si>
    <t>Requisitos Sanitários Brasileiros para Importação de Rações Extrusadas ou Peletizadas (Sanitary requirements governing the importation into Brazil of extruded or pelleted feed)</t>
  </si>
  <si>
    <t>The notified draft text lays down the sanitary requirements governing the importation into Brazil of extruded or pelleted feed.</t>
  </si>
  <si>
    <t>Extruded or pelleted feed</t>
  </si>
  <si>
    <t xml:space="preserve"> HS codes: 2302  2301 </t>
  </si>
  <si>
    <t>G/SPS/N/TPKM/310</t>
  </si>
  <si>
    <t>Quarantine Requirements for the Importation of Live Crustaceans and Molluscs</t>
  </si>
  <si>
    <t>The Requirements cover animal health control and regulate the importation of live crustaceans and molluscs. These requirements have been implemented since 1 September 2011. This amendment also revises the list of susceptible species of crayfish plaque  and the name of a mollusc disease in accordance with the OIE Aquatic Animal Health Code (2013 version). The susceptible species of crayfish plaque which had been listed in table 1 of the Requirements (Astacus astacus  Astacus leptodactylus  Austropotamobius pallipes  etc.) have been expanded to include three crayfish families (Cambaridae  Astacidae and Parastacidae). Infection with abalone herpes-like virus (listed in table 2 of the Requirements) is also revised as Infection with abalone herpesvirus. Excluding table 1 and table 2 of the Requirements  the other part of the Requirements remain unchanged.</t>
  </si>
  <si>
    <t>G/SPS/N/URY/25</t>
  </si>
  <si>
    <t>Prohibición del uso de ceniza de hueso para la elaboración de alimentos para animales. Resolución de la Dirección General de Servicios Agrícolas No. 22/07 (Ban on the use of bone ash in animal feed. Resolution No. 22/07 of the Directorate-General of Agricultural Services)</t>
  </si>
  <si>
    <t>The notified text bans and suspends the use of bone ash as an ingredient in animal feed products registered with the Directorate-General of Agricultural Services at the Ministry of Livestock  Agriculture and Fisheries.</t>
  </si>
  <si>
    <t>Bone ash used in animal feed.</t>
  </si>
  <si>
    <t>G/SPS/N/URY/22</t>
  </si>
  <si>
    <t>Regulación de las normas de control de alimentos para rumiantes  Decreto No. 241/004 con las modificaciones introducidas por el Decreto No. 281/013 (Regulations on ruminant feed  Decree No. 241/004 as amended by Decree No. 281/013)</t>
  </si>
  <si>
    <t>The Ministry of Livestock  Agriculture and Fisheries will establish a list of the products and by-products that are prohibited in ruminant feed.</t>
  </si>
  <si>
    <t>Products and by-products for feeding ruminants.</t>
  </si>
  <si>
    <t>G/SPS/N/URY/21</t>
  </si>
  <si>
    <t>Prohibición de importación  exportación  fabricación  venta  uso  tenencia y comercialización de las sustancias Carbadox y Olaquindox  Decreto nº 215/013 (Ban on the import  export  manufacture  sale  use  possession and marketing of the substances carbadox and olaquindox  Decree No. 215/013)</t>
  </si>
  <si>
    <t>The Ministry of Livestock  Agriculture and Fisheries prohibits the import  export  manufacture  sale  use  possession and marketing of the substances carbadox and olaquindox  either alone or combined with other chemical products.</t>
  </si>
  <si>
    <t>Carbadox and olaquindox  either alone or combined with other chemical products.</t>
  </si>
  <si>
    <t>Animal feed  Animal health  Feed additives  Food safety  Human health  Veterinary drugs</t>
  </si>
  <si>
    <t>G/SPS/N/URY/20</t>
  </si>
  <si>
    <t>Prohibición para la importación  fabricación  comercialización y uso de los alimentos para animales de las especies bovina y ovina que contengan antibióticos con la finalidad de promover el crecimiento  Decreto No. 98/011 (Ban on the importation  manufacture  marketing and use of feed for bovine animals and sheep which contains antibiotics for growth promotion purposes  Decree No. 98/011)</t>
  </si>
  <si>
    <t>The Ministry of Livestock  Agriculture and Fisheries prohibits the importation  manufacture  marketing and use of feed for bovine animals and sheep which contains antibiotics for growth promotion purposes  with a view to preventing any increase in the risk of antimicrobial resistance in animals and any risk to public health and ensuring the safety and quality of this product of animal origin.</t>
  </si>
  <si>
    <t>Feed for bovine animals and sheep containing antibiotics for growth promotion purposes.</t>
  </si>
  <si>
    <t>G/SPS/N/PHL/253</t>
  </si>
  <si>
    <t>Final Draft Philippine National Standard (PNS) for Fresh-Chilled and Fresh-Frozen Tuna for Sashimi</t>
  </si>
  <si>
    <t>This PNS for Fresh-Chilled and Fresh-Frozen Tuna for Sashimi aims to provide a common understanding on: the scope of the standard  product description  essential composition and quality factors  food additives  hygiene and handling  labelling requirements  methods of sampling  examination and analysis  definition of defectives  and the requirements for product lot acceptance.</t>
  </si>
  <si>
    <t>HS Codes: 0302.30  0303.40</t>
  </si>
  <si>
    <t>Bacteria  Escherichia coli  Food safety  Human health  Listeria monocytogenes  Salmonella</t>
  </si>
  <si>
    <t>G/SPS/N/PHL/252</t>
  </si>
  <si>
    <t>Final Draft Philippine National Standard (PNS) for Fresh and Frozen Cephalopods</t>
  </si>
  <si>
    <t>This PNS for Fresh and Frozen Cephalopods aims to provide a common understanding on: the scope of the standard  product description  essential composition and quality factors  food additives  hygiene and handling  labelling requirements  methods of sampling  examination and analysis  definition of defectives  and the requirements for product lot acceptance.</t>
  </si>
  <si>
    <t>HS Codes: 0307.41.20  0307.49.10  0307.51.20  0307.59.10</t>
  </si>
  <si>
    <t xml:space="preserve"> HS codes: 030759  030741  030751  030749 </t>
  </si>
  <si>
    <t>Bacteria  Escherichia coli  Food safety  Human health  Labelling  Listeria monocytogenes  Salmonella</t>
  </si>
  <si>
    <t>G/SPS/N/RUS/49/Add.1</t>
  </si>
  <si>
    <t>Live pigs and its genetic material  pork products  including products from slaughter of wild boars  horn-hoofed and leather  intestinal materials  bristles  feed for pigs  hunting trophies  previously used equipment for maintenance  transportation  slaughter and cutting of pigs</t>
  </si>
  <si>
    <t xml:space="preserve"> HS codes: 0511  0103  2309  0203 </t>
  </si>
  <si>
    <t>G/SPS/N/RUS/48/Add.2</t>
  </si>
  <si>
    <t xml:space="preserve"> HS codes: 0203  2309  2302  0103  0511 </t>
  </si>
  <si>
    <t>G/SPS/N/TPKM/303/Add.1</t>
  </si>
  <si>
    <t>Livestock and poultry tissues</t>
  </si>
  <si>
    <t>Live sheep and goats  products produced from meat of sheep and goats  milk and milk products  feed of animal origin and other raw materials and products obtained from sheep and goats slaughter  equipment previously used for maintenance  slaughter and processing of sheep and goats</t>
  </si>
  <si>
    <t>G/SPS/N/EU/73</t>
  </si>
  <si>
    <t>Commission Implementing Regulation (EU) No 323/2014 of 28 March 2014 amending Annexes I and II to Regulation (EC) No 669/2009 implementing Regulation (EC) No 882/2004 of the European Parliament and of the Council as regards the increased level of official controls on imports of certain feed and food of non-animal origin</t>
  </si>
  <si>
    <t>The Regulation reviews the list of imports of feed and food of non-animal origin which are subject to an increased level of official controls. The changes concern the removal from the list of dried noodles from China and the inclusion in the list of betel leaves from India and Thailand  enzymes from India  groundnuts and derived products from Sudan and vine leaves from Turkey.</t>
  </si>
  <si>
    <t>HS Codes: ex 07049090  ex 07081000  ex 07082000  07096010  07093000  07096010  ex 07096099  ex 07099990  ex 07102200  071022  07108051  ex 07108059  ex 07108095  07133900  08051020  08051080  ex 08054000  080620  08101000  081110  0902  090420  09042110  09042190  ex 09042200  09081100  09081200  091050  09109105  ex 11063090  12024100  12024200  ex 12077000  ex 12119086  20081110  20081191  20081196  20081198  ex 20089999  ex 14049000  3507</t>
  </si>
  <si>
    <t xml:space="preserve"> HS codes: 071339  070820  070960  200899  080540  110630  070490  71022  070930  091091  081010  090420  140490  081110  200811  080510  080620  070810  121190  071080  0902  3507 </t>
  </si>
  <si>
    <t>G/SPS/N/RUS/41/Add.1</t>
  </si>
  <si>
    <t>Live poultry  hatching eggs  fluff and feather  poultry and poultry products meat  feed and feed additives for poultry  equipment previously used for maintenance  slaughter and cutting of poultry</t>
  </si>
  <si>
    <t xml:space="preserve"> HS codes: 0207  0407  0105  2309 </t>
  </si>
  <si>
    <t>G/SPS/N/RUS/50</t>
  </si>
  <si>
    <t>Draft of the Eurasian Economic Commission Collegium Decision on amendments to Common sanitary-epidemiological and hygienic requirements for products  subjected to sanitary-epidemiological supervision (control)</t>
  </si>
  <si>
    <t>The document introduces amendments to Common sanitary-epidemiological and hygienic requirements for products  subject to sanitary-epidemiological supervision (control)  adopted by the Decision of the Customs Union Commission No. 299 as of 28 May 2010.   Chapter II of the mentioned document is adjusted with the following: - Section 15 (Annex 15.1) is amended with the list of active substances in pesticides in environmental objects  food raw materials  food products  - Annex 15 to Section 22 of Common sanitary requirements to "Meat products" (including sausages)  excluding "non-processed and minced meat" is amended by MRL for phosphoric acid and food phosphates  and - Point 7.1 "Vegetable oil (all types)" of Section 1 is amended by norms for "peroxide number" for refined deodorized palm-oil (not more than 0.9 mmol of active oxigen/kg).</t>
  </si>
  <si>
    <t xml:space="preserve"> HS codes: 0210  1511  3808 </t>
  </si>
  <si>
    <t>G/SPS/N/JPN/339</t>
  </si>
  <si>
    <t>The MHLW will withdraw all the provisional maximum residue limits (MRLs) set at the time of introduction of the positive list system for the following 29 agricultural chemicals. The 29 agricultural chemicals are classified into the following categories: i)  Those that are neither registered nor approved in Japan and that are not planned to be registered  ii)  Those for which MRLs are set in some commodities in certain foreign countries but that are not permitted to be used  iii)  Those that are permitted to be used in certain foreign countries but commodities containing those are not exported to Japan  and iv)  Those that have been in part evaluated by JMPR (Joint FAO/WHO Meeting on Pesticide Residues) or JECFA (Joint FAO/WHO Expert Committee on Food Additives) but for which Codex MRLs are neither set nor expected to be set.    Further to several import examinations conducted during the past ten years  no detection of these substances has been reported. Therefore  the MHLW has concluded that food commodities containing these agricultural chemicals are unlikely to be distributed in Japan in the future and the withdrawal of the MRLs for these agricultural chemicals is unlikely to have negative effects on international trade.   Pesticide: Anirazine  Aramite  Azaconazole  Barban  Bromophos  Bromophos-ethyl  Chlorbenside  Chlorbufam  Chloroxuron  Chlozolinate  Di-allate  1 1-dichloro-2 2-bis(4-ethylphenyl)ethane  Dimethirimol  Dinoterb  Dioxathion  Diphenamid  Foramsulfuron  Formothion  Mecarbam  Methacrifos  Monolinuron  Naptalam  Nitrothal-isopropyl  Pyrazophos  Sulprofos Pesticide/Veterinary drug: Fenchlorphos Veterinary drugs: 2-Acetylamino-5-nitrothiazole  Bithiionol  Miloxacin</t>
  </si>
  <si>
    <t xml:space="preserve"> HS codes: 0903  1204  1003  0804  0705  0704  1801  1501  1201  1005  1212  1207  0202  0207  0307  0714  1502  0814  0306  0401  0204  0706  0707  0407  0708  0208  0408  0209  0302  0807  1007  0908  0808  0907  1506  0504  0811  0206  0205  0806  1008  0810  0709  1004  0904  0710  0702  0906  0303  0201  0802  1002  0713  1202  0809  1006  0703  0803  0909  1210  0902  0905  0805  0910  1206  0701  1205  1001  0203  0901  0801  0304 </t>
  </si>
  <si>
    <t>G/SPS/N/JPN/338</t>
  </si>
  <si>
    <t>Proposed maximum residue limits (MRLs) for the following agricultural chemical: Pesticide: oxine copper</t>
  </si>
  <si>
    <t xml:space="preserve">- Edible vegetables and certain roots and tubers (HS Codes: 07.01  07.02  07.03  07.04  07.05  07.06  07.07  07.08  07.09  07.10 and 07.14) - Edible fruits and nuts  peel of citrus/melons (HS Codes: 08.01  08.02  08.03  08.04  08.05  08.06  08.07  08.08  </t>
  </si>
  <si>
    <t xml:space="preserve"> HS codes: 0801  1001  0701  1205  1206  0905  0910  0805  1004  0803  0703  0809  0810  1210  1002  0802  0904  0811  1008  0709  0806  0906  0909  0710  1007  0908  0702  0907  0807  0706  0808  0708  0707  0814  0714  1207  1005  1003  0704  0705  0804  1204  0903 </t>
  </si>
  <si>
    <t>G/SPS/N/CAN/805</t>
  </si>
  <si>
    <t>Policy on the Control of E. coli 0157: H7/NM Contamination in Raw Beef Products</t>
  </si>
  <si>
    <t>The Canadian Food Inspection Agency (CFIA) has revised its policy on the control of E. coli 0157:H7/NM contamination in raw beef products. In addition to the basic labelling requirements  as a result of this revision  mechanically tenderized beef intended to be sold at retail or to hospitals  restaurants and institutions must be identified as "mechanically tenderized" on the label. Cooking instructions to cook mechanically tenderized beef to a safe internal temperature must be provided on the label.</t>
  </si>
  <si>
    <t>Bacteria  Escherichia coli  Food safety  Human health  Labelling</t>
  </si>
  <si>
    <t>G/SPS/N/MEX/247/Add.1</t>
  </si>
  <si>
    <t>Grano de arroz (Oryza sativa) palay</t>
  </si>
  <si>
    <t>G/SPS/N/KOR/472</t>
  </si>
  <si>
    <t>Change in the prohibited areas of frozen leaf and stem of pepper plants</t>
  </si>
  <si>
    <t>The Animal and Plant Quarantine Agency (QIA) has changed the prohibited areas of frozen leaf and stem of pepper plants (Capsicum annum)  which is based on the results of Pest Risk Analysis (PRA). The change of the prohibited areas takes effect from the consignment which is inspected after 28 February 2014. The prohibited areas has changed as below:  All countries (except Japan other than Hokkaido and Kyusyu)  North America: Canada  Costa Rica  Cuba  Dominica  El Salvador  Guatemala  Haiti  Honduras  Jamaica  Mexico  Nicaragua  Puerto Rico  United States South America: Argentina  Bolivia  Plurinational State of  Brazil  Chile  Ecuador  Falkland Islands  Peru  Uruguay  Venezuela  Bolivarian Republic of Africa: Algeria  Egypt  Libya  Morocco  South Africa  Tunisia Asia: Arab Emirates  Armenia  Azerbaijan  Bhutan  Georgia  India  Iran  Iraq  Israel  Jordan  Lebanon  Myanmar  Nepal  Syria  Chinese Taipei  Turkey  Yemen Europe: All countries Oceania and the Pacific: Australia  New Zealand</t>
  </si>
  <si>
    <t>Ship and air cargo of frozen leaf and stem (including  contaminated frozen leaves and stems in pepper fruits) of pepper plants (Capsicum annum)</t>
  </si>
  <si>
    <t>G/SPS/N/PHL/243/Add.1</t>
  </si>
  <si>
    <t xml:space="preserve"> HS codes: 0207  05119  0105  0407  010511 </t>
  </si>
  <si>
    <t>G/SPS/N/RUS/34/Add.1</t>
  </si>
  <si>
    <t>HS Codes: 0106 41 000  0106 49 000  0601  0602 (except 0602 90 100 0) 0603 11 000 0  0603 19 800 0  0603 90 000 0  0604 20 200 0  0604 20 400 0  0604 20 900 0  0604 90 910 0  0701  0702 00 000  0703  0704  0705  0706  0707 00  0708  0709  0712 90 110 0  0713  0714  0801  0802  0803  0804  0805  0806  0807  0808  0809  0810  0813  0901 11 000  0901 12 000  1001  1002  1003  1004  1005  1006  1007  1008  1101 00  1102  1103  1104  1106 10 000 0  1107  1201  1202  1203 00 000 0  1204 00  1205  1206 00  1207  1208  1209  1211 (except 1211 30 000 0  1211 40 000 0)  1212 91  1212 92 000 0  1212 99 410 0  1212 99 490 0  1212 94 000 0  1212 99 950 0  1213 00 000 0  1401 90 000 0  1214  1801 00 000 0  1802 00 000 0  2302  2304 00 000  2305 00 000 0  2306  2530 90 000 0  2703 00 000 0  3002 90 500 0  3002 90 900 0  3101 00 000 0  4401 10 000  440121 000 0  4401 22 000 0  4401 39  4403 (except 4403 10 000)  4404  1404 90 000 9  4401 39 900 0  4406 10 000 0  4407  4409  4415  4418 40 000 0  9705 00 000 0</t>
  </si>
  <si>
    <t xml:space="preserve"> HS codes: 1005  1205  440110  0601  2306  0705  0714  1001  2302  1208  121291  300290  440610  1207  0813  1006  1002  0603  0703  4403  0802  1209  0602  1214  0805  0712  1107  1212  0106  1007  1101  1102  1103  1004  4409  2305  1211  0706  0704  1801  1802  06049  440121  440122  0807  0708  0707  0702  253090  4415  121299  0804  0806  0808  4407  060390  1204  0713  090111  3101  1202  1201  1203  0604  0810  0809  1008  1104  1213  140190  140490  2703  2304  4404  1003  0803  0801  0901  0709  1106  1206  090112  0701  441840 </t>
  </si>
  <si>
    <t>Food safety  Human health  Maximum residue limits (MRLs)  Pesticides  Withdrawal of the measure</t>
  </si>
  <si>
    <t>G/SPS/N/QAT/47</t>
  </si>
  <si>
    <t>This draft technical regulation applies to canned stone fruits  and offered for direct consumption  including for catering purposes or for repacking if required. It does not apply to the product when indicated as being intended for further processing. The draft regulation covers definitions  requirements  essential composition  quality  classification  food additives  weights and measures  and labelling.</t>
  </si>
  <si>
    <t>G/SPS/N/SLV/114</t>
  </si>
  <si>
    <t>RTCA 67.04.70:14 Productos Lácteos. Quesos. Especificaciones (Central American Technical Regulation (RTCA) No. 67.04.70:14: Milk products. Cheese. Specifications)</t>
  </si>
  <si>
    <t>The notified Technical Regulation establishes the general specifications to be met by cheese  as defined in Section 4 thereof. It applies to cheese for direct human consumption or further processing in the territory of the States Parties.</t>
  </si>
  <si>
    <t>International Classification for Standards (ICS) code 67.100.01</t>
  </si>
  <si>
    <t>G/SPS/N/EU/59/Add.1</t>
  </si>
  <si>
    <t>Raw milk  dairy products  colostrum and colostrum-based products (HS Code: 0401)</t>
  </si>
  <si>
    <t>G/SPS/N/SAU/97</t>
  </si>
  <si>
    <t>The Kingdom of Saudi Arabia/The Cooperation Council for the Arab States of the Gulf Draft Technical Regulation for: "Canned Stone Fruits"</t>
  </si>
  <si>
    <t>This draft technical regulation is relevant to canned stone fruits suitable for human consumption. It does not apply to the product prepared for further processing.</t>
  </si>
  <si>
    <t>G/SPS/N/PAN/58</t>
  </si>
  <si>
    <t>RTCA 67.04.71:14 Productos Lácteos. Cremas (Natas) y Cremas (Natas) Preparadas. Especificaciones (Central American Technical Regulation (RTCA) No. 67.04.71:14: Milk products. Cream and prepared creams. Specifications)</t>
  </si>
  <si>
    <t>The notified Technical Regulation establishes the specifications to be met by cream and prepared creams  as defined in Section 3 thereof. It applies to cream and prepared creams for direct human consumption or further processing in the territory of the States Parties.</t>
  </si>
  <si>
    <t>G/SPS/N/PAN/57</t>
  </si>
  <si>
    <t>G/SPS/N/CRI/147</t>
  </si>
  <si>
    <t>The notified Technical Regulation establishes the specifications to be met by cream and prepared creams  as defined in Section 4 thereof. It applies to cream and prepared creams for direct human consumption or further processing in the territory of the States Parties.</t>
  </si>
  <si>
    <t>International Classification for Standards (ICS) code 67.100.01: Milk and milk products in general</t>
  </si>
  <si>
    <t>G/SPS/N/CRI/146</t>
  </si>
  <si>
    <t>G/SPS/N/CHN/647</t>
  </si>
  <si>
    <t>National Food Safety Standard: Edible Oil Products</t>
  </si>
  <si>
    <t>This standard prescribes edible oil products  including hydrogenated oil  margarine  shortening and cocoa butter substitute etc.</t>
  </si>
  <si>
    <t>Edible oil products</t>
  </si>
  <si>
    <t xml:space="preserve"> HS codes: 1517 </t>
  </si>
  <si>
    <t>G/SPS/N/CHN/645</t>
  </si>
  <si>
    <t>National Food Safety Standard: Edible Fungi and their Products</t>
  </si>
  <si>
    <t>This standard applies to fresh edible fungi and products with edible fungi as the main raw material  processed by the corresponding process  including dried  pickled  and instant edible fungi etc.</t>
  </si>
  <si>
    <t>Edible fungi and their products</t>
  </si>
  <si>
    <t xml:space="preserve"> HS codes: 07123 </t>
  </si>
  <si>
    <t>G/SPS/N/CHN/643</t>
  </si>
  <si>
    <t>National Food Safety Standard: Gluten</t>
  </si>
  <si>
    <t>This standard applies to gluten.</t>
  </si>
  <si>
    <t>Gluten</t>
  </si>
  <si>
    <t xml:space="preserve"> HS codes: 1109 </t>
  </si>
  <si>
    <t>G/SPS/N/CHN/642</t>
  </si>
  <si>
    <t>National Food Safety Standard: Chewing Gum</t>
  </si>
  <si>
    <t>This standard applies to chewing gum. This standard contains the terms and definitions  technical requirements etc.</t>
  </si>
  <si>
    <t>Chewing gum</t>
  </si>
  <si>
    <t xml:space="preserve"> HS codes: 170410 </t>
  </si>
  <si>
    <t>G/SPS/N/TUR/42</t>
  </si>
  <si>
    <t>Turkish Food Codex Communiqué Amending Communiqué on Olive Oil and Olive Pomace Oil</t>
  </si>
  <si>
    <t>The purpose of this amendment is to determine the criteria for olive oil and olive pomace oil in line with Codex Alimentarius Standards  EU legislation  and International Olive Council Standards.</t>
  </si>
  <si>
    <t>G/SPS/N/PER/517</t>
  </si>
  <si>
    <t>Resolución Directoral Nº 0010-2014-MINAGRI-SENASA-DSV (Directorial Resolution No. 0010-2014-MINAGRI-SENASA-DSV)</t>
  </si>
  <si>
    <t>The notified Resolution reports the presence of Burkholderia glumae bacteria (bacterial blight) affecting rice cultivation in various departments of Peru (such as Tumbes  Piura  Amazonas  San Martín  Loreto  Junín  Huánuco  Arequipa and Madre de Dios). Consequently  this pest has been removed from the list of quarantine pests not found in Peru and integrated management guidelines for this disease have been adopted.</t>
  </si>
  <si>
    <t>Not applicable.</t>
  </si>
  <si>
    <t>G/SPS/N/NIC/84</t>
  </si>
  <si>
    <t>The notified Technical Regulation establishes the specifications to be met by cream and prepared creams  as defined in Section 3 thereof  for direct human consumption or further processing.</t>
  </si>
  <si>
    <t>G/SPS/N/NIC/83</t>
  </si>
  <si>
    <t>The notified Technical Regulation establishes the general specifications to be met by cheese  as defined in Section 4 thereof  for direct human consumption or further processing.</t>
  </si>
  <si>
    <t>G/SPS/N/MYS/27</t>
  </si>
  <si>
    <t>New Import Requirements for Importation of Plants  Plant Products and Regulated Articles into Malaysia 2014</t>
  </si>
  <si>
    <t>Malaysia proposes to revise and implement new import requirements of plants  plant products and regulated articles into  Malaysia following the gazette of Malaysian Quarantine and Inspection Services Act 2011. This Act requires that the importation of any plant into Malaysia shall require an import license. The commodities would also have to be accompanied by a phytosanitary certificate with additional declarations stating that appropriate treatment/measures have been applied prior to importation.</t>
  </si>
  <si>
    <t>Processed and dried for consumption soy bean (Glycine max)  corn/maize grain (Zea mays)  dried for consumption cocoa bean (Theobroma cacao)  processed and dried for consumption coffee beans (Coffea Arabica  Robusta coffee  Coffea liberica)  fresh/dried leaves tobacco (Nicotiana tabacum)  fresh/raw dried cotton (Gossypium hirsutum)  fresh orange and lime (Citrus spp.)  fresh banana (Musa spp.)  hay and straw for livestock feed (all grass species)  fresh/raw or dry corn cob/skin cocoa/sago and other regulated articles  plants and plant products</t>
  </si>
  <si>
    <t xml:space="preserve"> HS codes: 0901  0803  0805  1213  5201  2401  1201  1801  1005 </t>
  </si>
  <si>
    <t>G/SPS/N/KOR/470</t>
  </si>
  <si>
    <t>The proposed amendments seek to: 1. Revise the standard of Staphylococcus aureus in heated ham types and heated sausage types  natural cheese and processed cheese: - Heated ham types  heated sausage types:  n=5  c=0  m=0/25g  -&gt;  n=5  c=1  m=10  M=100 (Sterilized products have to be n=5  c=0  m=0/25g) - Natural cheese  processed cheese:  n=5  c=0  m=0/25g  -&gt;  n=5  c=2  m=10  M=100 2. Reflect the contents of the recently-revised "Livestock Products Sanitary Control Act" to newly include the following standards: - Newly establish a "Skimmed milk" category  - Add "Instant processed meat producer" to the list of those who can establish distribution periods of his/her product. 3. Revise the sampling criteria of liquid samples such as raw milk  4. Revise the microbiological test methods.</t>
  </si>
  <si>
    <t xml:space="preserve"> HS codes: 21011 </t>
  </si>
  <si>
    <t>G/SPS/N/HND/51</t>
  </si>
  <si>
    <t>RTCA 67.04.71:14  Productos Lácteos. Cremas (Natas) y Cremas (Natas) Preparadas. Especificaciones (Central American Technical Regulation (RTCA) No. 67.04.71:14: Milk products. Cream and prepared creams. Specifications)</t>
  </si>
  <si>
    <t>The notified Technical Regulation lays down the requirements for cream and prepared creams  as defined in Section 3 thereof. It applies to cream and prepared creams for direct human consumption or further processing in the territory of the States Parties.</t>
  </si>
  <si>
    <t>G/SPS/N/HND/50</t>
  </si>
  <si>
    <t>RTCA 67.04.70:14  Productos Lácteos. Quesos. Especificaciones (Central American Technical Regulation (RTCA) No. 67.04.70:14: Milk products. Cheese. Specifications)</t>
  </si>
  <si>
    <t>The notified Technical Regulation lays down the general requirements to be met by cheese  as defined in Section 4 thereof. It applies to cheese for direct human consumption or further processing in the territory of the States Parties.</t>
  </si>
  <si>
    <t>G/SPS/N/NIC/81</t>
  </si>
  <si>
    <t>Norma Técnica Obligatoria Nicaragüense NTON 11 043-13: Producción sostenible. Palma de aceite. Disposiciones y requisitos (Nicaraguan Mandatory Technical Standard (NTON) No. 11 043-13: Sustainable production. Oil palm. Provisions and requirements)</t>
  </si>
  <si>
    <t>The notified text establishes technical provisions and guidelines for planting  managing  processing and/or experimenting with oil palm (Elaeis spp.) crops within the framework of a sustainable production system.The provisions apply to all public or private  natural or legal persons involved in planting  managing  processing and/or experimenting with oil palm (Elaeis spp.) crops.</t>
  </si>
  <si>
    <t>International Classification for Standards (ICS) code: 65.020.01</t>
  </si>
  <si>
    <t>G/SPS/N/SLV/113</t>
  </si>
  <si>
    <t>RTCA 67.04.71:14 Productos lácteos. Cremas (natas) y cremas (natas) preparadas. Especificaciones (Central American Technical Regulation (RTCA) No. 67.04.71:14: Milk products. Cream and prepared creams. Specifications)</t>
  </si>
  <si>
    <t>The notified Technical Regulation lays down the requirements for cream and prepared creams  as defined in Section 3 thereof. It applies to cream and prepared creams for direct human consumption or further processing in the territory of the States Parties.</t>
  </si>
  <si>
    <t>International Classification for Standards (ICS) code: 67.100.01</t>
  </si>
  <si>
    <t>G/SPS/N/PHL/222/Add.1</t>
  </si>
  <si>
    <t>HS Codes: 0105  0207  0407  0511.99</t>
  </si>
  <si>
    <t xml:space="preserve"> HS codes: 051199  0407  0207  0105 </t>
  </si>
  <si>
    <t>G/SPS/N/PHL/220/Add.1</t>
  </si>
  <si>
    <t xml:space="preserve"> HS codes: 0207  0407  0105  051199 </t>
  </si>
  <si>
    <t>G/SPS/N/PHL/219/Add.1</t>
  </si>
  <si>
    <t xml:space="preserve"> HS codes: 0407  0207  051199  0105 </t>
  </si>
  <si>
    <t>G/SPS/N/TUR/41</t>
  </si>
  <si>
    <t>Turkish Food Codex Communiqué on Table Olive</t>
  </si>
  <si>
    <t>The purpose of this Communiqué is to determine the characteristics of table olives and table olive varieties. This Communiqué covers the production  preparation  processing  storage  handling and placement of the product on the market in compliance with the relevant technical and hygienic conditions.</t>
  </si>
  <si>
    <t>Table olives and table olive varieties</t>
  </si>
  <si>
    <t>G/SPS/N/TUR/39</t>
  </si>
  <si>
    <t>Turkish Food Codex Communiqué on Cheese</t>
  </si>
  <si>
    <t>The purpose of this Communiqué is to identify the characteristics of cheese which is made available for direct consumption or further processing. This is in order to ensure that its production  processing  transportation and marketing is in compliance with the relevant technical and hygienic conditions.</t>
  </si>
  <si>
    <t>All types of cheese which are made available directly for human consumption and/or used as raw material or semi-finished product to be processed into other products following the production</t>
  </si>
  <si>
    <t>G/SPS/N/TUR/38</t>
  </si>
  <si>
    <t>Turkish Food Codex Communiqué on fruit juices and similar products</t>
  </si>
  <si>
    <t>The purpose of this Communiqué is to determine the characteristics of fruit juice and other products like fruit juice. This Communiqué covers the production  preparation  processing  storage  handling and placement of the product on the market in compliance with the relevant technical and hygienic conditions.</t>
  </si>
  <si>
    <t>Fruit juices and similar products</t>
  </si>
  <si>
    <t>G/SPS/N/GTM/59</t>
  </si>
  <si>
    <t>The notified Technical Regulation lays down the requirements for cream and prepared creams  as defined in Section 3 thereof. It applies to cream and prepared creams for direct human consumption or further processing in the territory of the States Parties.</t>
  </si>
  <si>
    <t>G/SPS/N/GTM/58</t>
  </si>
  <si>
    <t>RTCA 67.04.70:14  Productos Lácteos. Quesos. Especificaciones (Central American Technical Regulation (RTCA) No. 67.04.70:14: Milk products. Cheese. Specifications)</t>
  </si>
  <si>
    <t>G/SPS/N/RUS/48/Add.1</t>
  </si>
  <si>
    <t xml:space="preserve"> HS codes: 0103  0203  0511  2309 </t>
  </si>
  <si>
    <t>G/SPS/N/TUR/37</t>
  </si>
  <si>
    <t>Turkish Food Codex Communiqué on Infant Formula</t>
  </si>
  <si>
    <t>The purpose of this Communiqué is to determine the essential composition and labelling rules of infant formula intended for particular nutritional use by infants.</t>
  </si>
  <si>
    <t>G/SPS/N/TUR/36</t>
  </si>
  <si>
    <t>Turkish Food Codex Communiqué on Follow-on Formula</t>
  </si>
  <si>
    <t>The purpose of this Communiqué is to determine the essential composition and labelling rules to follow for formula intended for particular nutritional use by infants.</t>
  </si>
  <si>
    <t>Follow-up formula and follow-on milk</t>
  </si>
  <si>
    <t>G/SPS/N/TUR/35</t>
  </si>
  <si>
    <t>Regulation on Feed Additives For Use In Animal Nutrition</t>
  </si>
  <si>
    <t>This Regulation covers the procedure for authorising placement on the market and use of feed additives. It outlines the rules for the supervision and labelling of feed additives and premixtures in order to provide the basis for the assurance of a high level of protection of public health  animal health and welfare  environment and users' and consumers' interests in relation to feed additives.</t>
  </si>
  <si>
    <t>Feed additives</t>
  </si>
  <si>
    <t>Animal feed  Animal health  Feed additives  Food safety  Human health  Labelling</t>
  </si>
  <si>
    <t>G/SPS/N/RUS/36/Add.1</t>
  </si>
  <si>
    <t>HS Code: 2309</t>
  </si>
  <si>
    <t>G/SPS/N/RUS/20/Add.1</t>
  </si>
  <si>
    <t>Feed and feed additives</t>
  </si>
  <si>
    <t>G/SPS/N/ALB/171</t>
  </si>
  <si>
    <t>Draft ordinance of Minister "On Wheat flour for human consumption"</t>
  </si>
  <si>
    <t>This draft ordinance applies to wheat flour for human consumption prepared from common wheat  Triticum aestivum  Triticum vulgare wheat or Triticium compactum Host species or their mixture  which are pre-packed for sale to the ultimate consumer or other food products. It contains some quality indicators and references for some safety norms. Maximum level of enzymes in the final product  processing agents and permissible limit and method of analysis for some indication of wheat flour are defined.</t>
  </si>
  <si>
    <t>G/SPS/N/MEX/255</t>
  </si>
  <si>
    <t>Proyecto de Norma Oficial Mexicana PROY-NOM-201-SSA1-2013  Productos y servicios. Agua y hielo para consumo humano  envasados y a granel. Especificaciones sanitarias (Draft Mexican Official Standard PROY-NOM-201-SSA1-2013: Products and services. Water and ice for human consumption  packaged and in bulk. Sanitary specifications)</t>
  </si>
  <si>
    <t>The notified text establishes the characteristics of and sanitary specifications for water and ice for human consumption marketed in pre-packaged form or in bulk  and establishments engaged in the processing or importation of these products.It is binding throughout Mexican territory on natural and legal persons engaged in the processing or importation of these products.</t>
  </si>
  <si>
    <t>Water and ice for human consumption.</t>
  </si>
  <si>
    <t>G/SPS/N/USA/2247/Add.2</t>
  </si>
  <si>
    <t>Live birds and poultry  poultry meat  and poultry products</t>
  </si>
  <si>
    <t xml:space="preserve"> HS codes: 0105  01063  0407  0207 </t>
  </si>
  <si>
    <t>G/SPS/N/JPN/325/Rev.1</t>
  </si>
  <si>
    <t>Proposed maximum residue limits (MRLs) for the following agricultural chemicals: Pesticide: Dicamba Veterinary drug/feed additive: Narasin   An error was contained in the footnote of the MRLs table for Dicamba in the original notification G/SPS/N/JPN/325 circulated on 11 November 2013. The previous note stated:  "MRLs are expressed the sum of dicamba and the metabolite B(3 6-dichloro-2-hydroxybenzoic acid)  calculated as dicamba  for crop(only for Soybeans  dry)  as dicamba for crops (except for Soybeans  dry) and as the sum of dicamba  the metabolite B and conjugate of the metabolite B  calculated as dicamba  for livestock and poultry products." The correct note should be: "MRLs are expressed the sum of dicamba  the metabolite B(3 6-dichloro-2-hydroxybenzoic acid) and conjugate of the metabolite B  calculated as dicamba  for crop(only for Soybeans  dry)  as dicamba for crops (except for Soybeans  dry) and as the sum of dicamba  the metabolite B and conjugate of the metabolite B  calculated as dicamba  for livestock and poultry products."</t>
  </si>
  <si>
    <t xml:space="preserve"> HS codes: 1212  1005  1003  1501  0710  1008  0709  1002  1004  1006  0401  0203  1001  1201  0701  0708  0407  0408  0208  1506  0204  0201  0205  1007  0206  0504  1502  0207  1207  0202  0209 </t>
  </si>
  <si>
    <t>G/SPS/N/JPN/333</t>
  </si>
  <si>
    <t>Proposed maximum residue limits (MRLs) for the following agricultural chemicals: Pesticide: Prothioconazole.</t>
  </si>
  <si>
    <t>- Meat and edible meat offal (HS Codes: 02.01  02.02  02.03  02.04  02.05  02.06  02.07 and 02.08) - Dairy produce  birds' eggs and natural honey (HS Code: 04.01) - Products of animal origin (HS Code: 05.04) - Edible vegetables and certain roots and tuber</t>
  </si>
  <si>
    <t xml:space="preserve"> HS codes: 0208  0202  0207  1502  0504  0204  1007  0205  1506  0201  0203  1201  1001  1205  0701  0401  1202  1004  0713  0206  1002  1008  0710  0709  1501  1003  1212  1005 </t>
  </si>
  <si>
    <t>Burundi</t>
  </si>
  <si>
    <t>G/SPS/N/BDI/3</t>
  </si>
  <si>
    <t>Décision N°750/1103/2013 portant sur l'interdiction d'importation  de fabrication et de commercialisation des liqueurs emballées en sachets et bouteilles plastiques (Decision No. 750/1103/2013 banning the importation  manufacture and marketing of liquor in plastic sachets and bottles)</t>
  </si>
  <si>
    <t>The notified text concerns the importation  manufacture and marketing of liquor in plastic sachets and bottles.</t>
  </si>
  <si>
    <t>Ban on the importation  manufacture and marketing of liquor in plastic sachets and bottles (Article 1).</t>
  </si>
  <si>
    <t xml:space="preserve"> HS codes: 220870 </t>
  </si>
  <si>
    <t>Beverages  Food safety  Human health  Packaging</t>
  </si>
  <si>
    <t>G/SPS/N/USA/701/Add.2</t>
  </si>
  <si>
    <t>Infant Formula (Harmonized Tariff  (HS) code number - 1901.10)</t>
  </si>
  <si>
    <t>G/SPS/N/UKR/93</t>
  </si>
  <si>
    <t>Notice as of 25 January 2014 N° 15-9-1-23/1953 of Chief State Inspector of Veterinary Medicine of Ukraine "On prohibition of import of pigs  pork products and raw materials into the territory of Ukraine from the territory of the Republic of Lithuania"</t>
  </si>
  <si>
    <t>According to the official announcement of the State Food and Veterinary Service of Lithuania of 25 January 2014  the country registered a classical swine fever of wild boars.  In order to avoid entering the causative agent into the territory of Ukraine  the decision of the Inspector of Veterinary Medicine of Ukraine N° 15-9-1-23/1953 of 25 January 2014 temporarily prohibits import from the Republic of Lithuania of animal products susceptible to detected disease such as raw and reproductive material from them.</t>
  </si>
  <si>
    <t>Pigs  its raw materials and semen</t>
  </si>
  <si>
    <t>G/SPS/N/RUS/45/Add.1</t>
  </si>
  <si>
    <t xml:space="preserve"> HS codes: 2309  0401  0204  0104 </t>
  </si>
  <si>
    <t>G/SPS/N/RUS/35/Add.4</t>
  </si>
  <si>
    <t>Milk and dairy products (HS Codes: 0401-0406)</t>
  </si>
  <si>
    <t xml:space="preserve"> HS codes: 0403  0405  0401  0406  0404  0402 </t>
  </si>
  <si>
    <t>G/SPS/N/RUS/35/Add.3</t>
  </si>
  <si>
    <t xml:space="preserve"> HS codes: 0403  0405  0401  0404  0402  0406 </t>
  </si>
  <si>
    <t>G/SPS/N/BHR/151</t>
  </si>
  <si>
    <t>Edible wheat germ oil</t>
  </si>
  <si>
    <t>This Draft Technical Regulation concerns "Edible wheat germ oil". It specifies the requirements  sampling  test methods  packaging  transportation  storage and labeling.</t>
  </si>
  <si>
    <t>ICS Code: 67.200</t>
  </si>
  <si>
    <t xml:space="preserve"> HS codes: 151590 </t>
  </si>
  <si>
    <t>G/SPS/N/BHR/148</t>
  </si>
  <si>
    <t>Dehydrated shrimps (Prawns)</t>
  </si>
  <si>
    <t>This Draft Technical Regulation concerns "Dehydrated shrimps". It specifies the requirements  sampling  test methods  packaging  transportation  storage and labeling.</t>
  </si>
  <si>
    <t>ICS Code: 67.120.30</t>
  </si>
  <si>
    <t xml:space="preserve"> HS codes: 030623 </t>
  </si>
  <si>
    <t>G/SPS/N/BHR/147</t>
  </si>
  <si>
    <t>Dates syrup</t>
  </si>
  <si>
    <t>This Draft Technical Regulation concerns "Dates syrup". It specifies the requirements  sampling  test methods  packaging  transportation  storage and labeling.</t>
  </si>
  <si>
    <t>Fruits/vegetables (ICS Code: 67.080)</t>
  </si>
  <si>
    <t xml:space="preserve"> HS codes: 200980 </t>
  </si>
  <si>
    <t>G/SPS/N/BHR/146</t>
  </si>
  <si>
    <t>Coffee and Coffee products-cappuccino powder</t>
  </si>
  <si>
    <t>This Draft Technical Regulation concerns "Coffee and coffee products-cappuccino powder". It specifies the requirements  sampling  test methods  packaging  transportation  storage and labeling.</t>
  </si>
  <si>
    <t>ICS Code: 67.140.20</t>
  </si>
  <si>
    <t>G/SPS/N/BHR/145</t>
  </si>
  <si>
    <t>Barley malt</t>
  </si>
  <si>
    <t>This Draft Technical Regulation concerns "Barley malt". It specifies the requirements  sampling  test methods  packaging  transportation  storage and labeling.</t>
  </si>
  <si>
    <t>Cereals  pulses and derived products (ICS Code:  67.060)</t>
  </si>
  <si>
    <t xml:space="preserve"> HS codes: 1107 </t>
  </si>
  <si>
    <t>G/SPS/N/BHR/144</t>
  </si>
  <si>
    <t xml:space="preserve">General requirements for bakery products </t>
  </si>
  <si>
    <t>This Draft Technical Regulation concerns "Bakery products". It specifies the requirements  sampling  test methods  packaging  transportation  storage and labeling.</t>
  </si>
  <si>
    <t>Bakery products (ICS Code: 67.060)</t>
  </si>
  <si>
    <t>G/SPS/N/BHR/135</t>
  </si>
  <si>
    <t>Frozen Prawn Coated with Bread Crump</t>
  </si>
  <si>
    <t>This standard applies to the basic requirement for frozen prawn coated with bread crump that is partially cooked or raw  and frozen.</t>
  </si>
  <si>
    <t>Frozen prawn coated with bread crump (ICS Code: 67.000)</t>
  </si>
  <si>
    <t>G/SPS/N/BHR/134</t>
  </si>
  <si>
    <t>Frozen Dough</t>
  </si>
  <si>
    <t>This standard concerns ready-to-use frozen dough for the preparation of pies  pastries and desserts. It does apply to cake dough or frozen breads.</t>
  </si>
  <si>
    <t>Frozen dough (ICS Code: 67.060)</t>
  </si>
  <si>
    <t xml:space="preserve"> HS codes: 190120 </t>
  </si>
  <si>
    <t>G/SPS/N/BHR/131</t>
  </si>
  <si>
    <t>Cream Analogue</t>
  </si>
  <si>
    <t>This standard applies to the basic requirement for cream analogue pasteurized  sterilized and ultra heat-treated.</t>
  </si>
  <si>
    <t>Cream analogue (ICS Code: 67.100)</t>
  </si>
  <si>
    <t>G/SPS/N/BHR/127</t>
  </si>
  <si>
    <t>Black Tea</t>
  </si>
  <si>
    <t>This Draft Technical Regulation concerns processed black tea and does not include flavoured (scented) tea  green tea  and instant tea.</t>
  </si>
  <si>
    <t>Black tea (ICS Code: 67.140)</t>
  </si>
  <si>
    <t xml:space="preserve"> HS codes: 090230 </t>
  </si>
  <si>
    <t>G/SPS/N/EU/66</t>
  </si>
  <si>
    <t>Commission Regulation (EU) No 5/2014 of 6 January 2014 amending Directive 2008/38/EC establishing a list of intended uses of animal feedingstuffs for particular nutritional purposes</t>
  </si>
  <si>
    <t>The Regulation establishes and updates the essential product properties of and provisions for dietetic feed in order to assure animal welfare  animal health and public health once such feed is fed to the animals.</t>
  </si>
  <si>
    <t>Animal feed (with specific characteristics)</t>
  </si>
  <si>
    <t>G/SPS/N/USA/1491/Add.1</t>
  </si>
  <si>
    <t xml:space="preserve"> HS codes: 0201  0204  0203 </t>
  </si>
  <si>
    <t>G/SPS/N/RUS/35/Add.2</t>
  </si>
  <si>
    <t xml:space="preserve"> HS codes: 0402  0404  0406  0403  0405  0401 </t>
  </si>
  <si>
    <t>G/SPS/N/ARG/158/Add.1</t>
  </si>
  <si>
    <t>G/SPS/N/JPN/331</t>
  </si>
  <si>
    <t>Animal health requirements for meat and viscera derived from pigs  and for sausages  ham and bacon made from the said meat and viscera as raw materials  to be exported to Japan from Portugal</t>
  </si>
  <si>
    <t>The "animal health requirements for meat and viscera derived from pigs  and for sausages  ham and bacon made from the said meat and viscera as raw materials  to be exported to Japan from Portugal" are set to allow the export of pig meat etc. from Portugal to Japan since Portugal is recognised as a free country of Foot and mouth disease  Classical swine fever and African swine fever.</t>
  </si>
  <si>
    <t>Pig meat and its products</t>
  </si>
  <si>
    <t>Animal diseases  Animal health  Classical Swine Fever  Foot and mouth disease  Pest or Disease free Regions</t>
  </si>
  <si>
    <t>G/SPS/N/RUS/35/Add.1</t>
  </si>
  <si>
    <t xml:space="preserve"> HS codes: 0401  0405  0403  0402  0404  0406 </t>
  </si>
  <si>
    <t>G/SPS/N/QAT/45</t>
  </si>
  <si>
    <t>Preserved grape leaf</t>
  </si>
  <si>
    <t>This technical regulation contains definition for preserved grape leaves  requirements (physical  chemical  microbiological  radiological  sampling  methods of examination and test  packaging  transportation  storage and labelling).</t>
  </si>
  <si>
    <t>Preserved grape leaf (ICS Code: 67.080)</t>
  </si>
  <si>
    <t>G/SPS/N/QAT/44</t>
  </si>
  <si>
    <t>Requirements for Molasses</t>
  </si>
  <si>
    <t>This Draft Technical Regulation concerns general requirements to be fulfilled in molasses which is used in food manufacturing.</t>
  </si>
  <si>
    <t>ICS Code: 67.180.10</t>
  </si>
  <si>
    <t xml:space="preserve"> HS codes: 1703 </t>
  </si>
  <si>
    <t>G/SPS/N/RUS/3/Add.1</t>
  </si>
  <si>
    <t>Live pigs  boar semen  pork and raw pork products and pork goods</t>
  </si>
  <si>
    <t xml:space="preserve"> HS codes: 0203  0511  0103 </t>
  </si>
  <si>
    <t>G/SPS/N/CAN/787</t>
  </si>
  <si>
    <t>Consultation Document on Health Canada's Proposal to Enable the Use of a New Food Additive  Ice Structuring Protein  to Modify the Texture of Unstandardized Edible Ices and Unstandardized Frozen Desserts</t>
  </si>
  <si>
    <t>Health Canada's Food Directorate completed a detailed safety assessment of a food additive submission seeking approval for the use of ice structuring protein  to modify the texture of unstandardized edible ices and unstandardized frozen desserts. Ice structuring protein is not currently permitted for use as an additive in foods sold in Canada. As no safety concerns were raised through this assessment  it is the intention of Health Canada to enable the food additive use of ice structuring protein  as described in the information document. The purpose of this communication is to publically announce the Department's intention in this regard and to provide the appropriate contact information for any inquiries or for those wishing to submit any new scientific information relevant to the safety of this food additive. Health Canada's Food Directorate is committed to reviewing any new scientific information on the safety in use of any food additive  including ice structuring protein. Anyone wishing to submit new scientific information on the use of this additive or to submit any inquiries may do so in writing  by regular mail or electronically.</t>
  </si>
  <si>
    <t>G/SPS/N/EU/65</t>
  </si>
  <si>
    <t>Commission Implementing Regulation (EU) No 1355/2013 of 17 December 2013 amending Annex I to Regulation (EC) No 669/2009 implementing Regulation (EC) No 882/2004 of the European Parliament and of the Council as regards the increased level of official controls on imports of certain feed and food of non-animal origin</t>
  </si>
  <si>
    <t>The Regulation reviews the list of imports of feed and food of non-animal origin  which are subject to an increased level of official controls. The changes concern the removal from the list of hazelnuts from Azerbaijan  mace  ginger and curcuma from India  mace from Indonesia and brassica vegetables from Thailand.</t>
  </si>
  <si>
    <t>HS Codes: ex 07049090  070810  070820  0709  07093000  070960  070990  07102  071022  071080  071339  080510  ex 08054000  080620  0810  081110  0902  090420  090810  091050  110630  12024100  12024200  1207  121190  ex 19021100  ex 19021910  ex 19021990  ex 19022010  ex 19022030  ex 19022091  ex 19022099  ex 19023010  20081110  20081191  20081196  20081198  200899</t>
  </si>
  <si>
    <t xml:space="preserve"> HS codes: 0902  07102  071080  1207  070810  080620  121190  081110  070490  071022  090420  19021  080510  070930  090810  190230  71022  080540  190220  200899  0810  1202  110630  070820  070990  0709  070960  071339 </t>
  </si>
  <si>
    <t>G/SPS/N/USA/2617</t>
  </si>
  <si>
    <t>Proposed rule: Importation of Beef: Region in Brazil (Docket No. APHIS-2009-0017)</t>
  </si>
  <si>
    <t>The Animal and Plant Health Inspection Service is proposing to amend the regulations governing the importation of certain animals  meat  and other animal products by allowing  under certain conditions  the importation of fresh (chilled or frozen) beef from a region in Brazil (the States of Bahia  Distrito Federal  Espirito Santo  Goias  Mato Grosso  Mato Grossodo Sul  Minas Gerais  Parana  Rio Grande do Sul  Rio de Janeiro  Rondonia  Sao Paulo  Sergipe  and Tocantins). Based on the evidence in a recent risk assessment  we have determined that fresh (chilled or frozen) beef can be safely imported from those Brazilian States provided certain conditions are met. This action would provide for the importation of beef from the designated region in Brazil into the United States while continuing to protect the United States against the introduction of foot-and-mouth disease.  Federal Register  Vol. 78  No. 246  Monday  23 December 2013  77370-77376.</t>
  </si>
  <si>
    <t>G/SPS/N/JPN/329</t>
  </si>
  <si>
    <t>Proposed maximum residue limits (MRLs) for the following agricultural chemicals: Feed additive/Veterinary drug: Monensin.</t>
  </si>
  <si>
    <t xml:space="preserve">- Meat and edible meat offal (HS Codes: 02.01  02.02  02.04  02.05  02.06  02.07  02.08 and 02.09) - Dairy produce  birds' eggs and natural honey (HS Code: 04.01) - Products of animal origin (HS Code: 05.04) - Animal or vegetable fats and oils (HS Codes: </t>
  </si>
  <si>
    <t xml:space="preserve"> HS codes: 1506  0204  0504  0201  0205  0209  0208  0202  0207  1502  0206  0401  1501 </t>
  </si>
  <si>
    <t>Feed additives  Food safety  Human health  Veterinary drugs</t>
  </si>
  <si>
    <t>G/SPS/N/JPN/328</t>
  </si>
  <si>
    <t>Proposed maximum residue limits (MRLs) for the following agricultural chemicals: Pesticide: Molinate.</t>
  </si>
  <si>
    <t>- Fish and crustaceans  molluscs and other aquatic invertebrates (HS Codes: 03.02  03.03  03.04  03.06 and 03.07) - Edible vegetables and certain roots and tubers (HS Codes: 07.01  07.02  07.03  07.04  07.05  07.06  07.07  07.08  07.09  07.10  07.13 and 0</t>
  </si>
  <si>
    <t xml:space="preserve"> HS codes: 1801  0704  0903  1204  1003  0804  0705  1005  1212  0901  1001  1201  0304  0801  0701  0905  0805  1206  1205  0910  0303  0906  0702  1002  0810  1008  0904  0709  1004  0710  0909  0806  0703  1202  1006  0803  0809  1210  0814  0714  0902  0802  0713  0306  1207  0307  0811  0907  0808  0908  1007  0302  0708  0807  0707  0706 </t>
  </si>
  <si>
    <t>G/SPS/N/JPN/327</t>
  </si>
  <si>
    <t>Proposed maximum residue limits (MRLs) for the following agricultural chemicals: Pesticide: Cyprodinil.</t>
  </si>
  <si>
    <t xml:space="preserve"> HS codes: 0209  0407  0408  0707  0708  0808  0706  0807  0201  0907  0205  0204  0302  1506  1007  0504  0702  0303  0908  0307  0208  0207  0202  0814  1502  0805  1004  0810  0809  0703  1002  0906  0709  0710  0909  0806  1008  0811  0904  0206  0713  0802  1205  0905  0910  0401  0306  0304  0801  1001  1201  0203  1003  1005  0804  0705  0903  0704  1501 </t>
  </si>
  <si>
    <t>G/SPS/N/TPKM/303</t>
  </si>
  <si>
    <t>Amendment to maximum residue limit for Amoxicillin  Ampicillin  Amprolium  Arsanilic acid  Benzylpenicillin  Procaine benzylpenicillin  Bicozamycin  Cefuroxime  Chlortetracycline  Oxytetracycline  Tetracycline  Clopidol  Cloxacillin  Diaveridine  Doxycycline  Ethopabate  Florfenicol  Flunixin  Hydrocortisone  Josamycin  Kanamycin  Lasalocid  Levamisole  Lincomycin  Maduramicin  Mebendazole  Nosiheptide  Oleandomycin  Orbifloxacin  Oxolinic acid  Piperazine  Prednisolone  Pyrantel  Pyrimethamine  Semduramicin  Spectinomycin  Spiramycin  Sulfamonomethoxine  Tiamulin and Trimethoprim.</t>
  </si>
  <si>
    <t>G/SPS/N/BRA/877/Add.1</t>
  </si>
  <si>
    <t xml:space="preserve"> HS codes: 020621  020629 </t>
  </si>
  <si>
    <t>G/SPS/N/BRA/483/Rev.1/Add.1</t>
  </si>
  <si>
    <t>G/SPS/N/TPKM/301/Add.1</t>
  </si>
  <si>
    <t>G/SPS/N/MEX/247</t>
  </si>
  <si>
    <t>Requisitos fitosanitarios para la importación de grano de arroz (Oryza sativa) palay  originario y procedente de Brasil (Phytosanitary requirements governing the importation into Mexico of paddy rice (Oryza sativa) originating in and coming from Brazil)</t>
  </si>
  <si>
    <t>Pursuant to the "Agreement establishing the module for phytosanitary requirements governing the importation of goods regulated by the Ministry of Agriculture  Livestock  Rural Development  Fisheries and Food in relation to plant health"  published in the Mexican Official Journal on 7 February 2012  the phytosanitary requirements governing the importation into Mexico of paddy rice (Oryza sativa) originating in and coming from Brazil  established on the basis of a pest risk analysis  have been submitted to public comment.A phytosanitary certificate issued by the Brazilian plant health authority is required and must state that the rice originates in and comes from Brazil  that it has undergone inspection and that it has been found to be free from Dinoderus minutus  Acanthospermum hispidum  Alternanthera philoxeroides  Commelina benghalensis L. and Polygonum hydropiper L.Furthermore  rice is required to be certified as free from Aphelenchoides besseyi  Alternaria padwickii  Gaeumannomyces graminis  Magnaporthe salvinii  Monographella albescens  Nigrospora oryzae  Phoma sorghina  Pithomyces chartarum  Ustilaginoidea virens and Pseudomonas fuscovaginae  on the basis of the results of a laboratory diagnosis.</t>
  </si>
  <si>
    <t>Paddy rice (Oryza sativa)</t>
  </si>
  <si>
    <t>Food safety  Human health  Pests</t>
  </si>
  <si>
    <t>G/SPS/N/CRI/144</t>
  </si>
  <si>
    <t>Reglamento a la Ley de Control de Ganado Bovino  Prevención y Sanción de su robo  hurto y receptación. Nº 37918-MAG-S-SP-MOPT (Regulation to the Law on Livestock Control  Prevention and Punishment of Robbery  Theft and Fencing. No. 37918-MAG-S-SP-MOPT)</t>
  </si>
  <si>
    <t>The purpose of the notified Regulation is to define the procedures  mechanisms and responsibilities relating to control  regulation  prevention and punishment of the slaughter  killing  capture  robbery  theft  displacement  transport  marketing  smuggling and trading of cattle  as well as of cattle products and byproducts in the national territory  in accordance with the provisions of Law No. 8799 and this Regulation.</t>
  </si>
  <si>
    <t>Live bovine animals - HS code: 0102: Meat of bovine animals  fresh or chilled - HS code: 0201</t>
  </si>
  <si>
    <t xml:space="preserve">Deadline: 23 December 2016 (COMP/TRADE/297/17) </t>
  </si>
  <si>
    <t>COMP/TRADE/078/16, COMP/TRADE/045/16, COMP/TRADE/044/16</t>
  </si>
  <si>
    <t>COMP/TRADE/069/16</t>
  </si>
  <si>
    <t>COMP/TRADE/034/16</t>
  </si>
  <si>
    <t>COMP/TRADE/371/15</t>
  </si>
  <si>
    <t>COMP/TRADE/374/15</t>
  </si>
  <si>
    <t>COMP/TRADE/029/16</t>
  </si>
  <si>
    <t>COMP/TRADE/037/16</t>
  </si>
  <si>
    <t>COMP/TRADE/278/16</t>
  </si>
  <si>
    <t>COMP/TRADE/259/16</t>
  </si>
  <si>
    <t>COMP/TRADE/106/16, COMP/TRADE/059/16</t>
  </si>
  <si>
    <t>COMP/TRADE/130/14</t>
  </si>
  <si>
    <t>COMP/TRADE/213/15</t>
  </si>
  <si>
    <t>COMP/TRADE/314/15</t>
  </si>
  <si>
    <t>COMP/TRADE/315/15</t>
  </si>
  <si>
    <t>COMP/TRADE/030/16</t>
  </si>
  <si>
    <t>FoodDrinkEurope consultation &amp; follow-up</t>
  </si>
  <si>
    <t>COMP/TRADE/304/16 - European Commission comments to WTO enquiry pooint, 9 December 2016          ----------------------------------------COMP/TRADE/285/16 - FoodDrinkEurope comments as sent to DG Grow on 18 Novemebr 2016</t>
  </si>
  <si>
    <t>Mozambique</t>
  </si>
  <si>
    <t>G/TBT/N/MOZ/10</t>
  </si>
  <si>
    <t xml:space="preserve">Alcoholic Beverages Sealing and Manufactured Tobacco Regulation (4 pages  in Portuguese) </t>
  </si>
  <si>
    <t>Establishes the procedures to be observe in the&amp;nbsp  production  distribution  use and inspection of alcoholic beverages control seal of&amp;nbsp tariff book 22.03  22.04  22.05 e 22.08 and manufactured tobacco of&amp;nbsp tariff book 24.02  which sealing is mandatory.</t>
  </si>
  <si>
    <t xml:space="preserve">Alcoholic beverages (ICS: 67.160.10)  Tobacco distribution of tickets (ICS: 55.230)   </t>
  </si>
  <si>
    <t xml:space="preserve"> ICS codes: 55.230  67.160.10  HS codes: 2205  2204  2208  2203 </t>
  </si>
  <si>
    <t>Regular</t>
  </si>
  <si>
    <t>http://www.epingalert.org/#/details/G/TBT/N/MOZ/10</t>
  </si>
  <si>
    <t>G/TBT/N/CAN/506</t>
  </si>
  <si>
    <t>Food Labelling Modernization (40 pages, in English; 44 pages, in French)</t>
  </si>
  <si>
    <t>The Canadian Food Inspection Agency has launched a public consultation on key proposals related to Food Label Modernization via an online discussion paper and questionnaire. This questionnaire will be open until 28 February 2017.&amp;nbsp;This consultation has been notified under the SPS Agreement (G/SPS/N/CAN/1084).</t>
  </si>
  <si>
    <t>Food intended for human consumption (ICS: 67.020; 55.200)</t>
  </si>
  <si>
    <t xml:space="preserve"> ICS codes: 67.020,55.020</t>
  </si>
  <si>
    <t>Consumer information, Labelling</t>
  </si>
  <si>
    <t>http://www.epingalert.org/en/#/details/G/TBT/N/CAN/506","G/TBT/N/CAN/506</t>
  </si>
  <si>
    <t>https://docs.wto.org/imrd/directdoc.asp?DDFDocuments/t/G/TBTN16/CAN506.DOC</t>
  </si>
  <si>
    <t>Korea, Republic of</t>
  </si>
  <si>
    <t>G/TBT/N/KOR/695</t>
  </si>
  <si>
    <t>Proposed Amendments for "Regulation on the Accreditation of Functional Ingredients and Standards/Specifications for Health/Functional Foods" (64 pages, available in Korean)</t>
  </si>
  <si>
    <t xml:space="preserve">The proposed amendments&amp;nbsp; are seek to:Revise definition of materials for functional ingredients to define compounds, extracts, refined products, etc.Introduce a accelerated evaluation system for a functional ingredient composed of one-component, and tested by the MFDS authorized methodWithdraw accreditation certificate of Functional </t>
  </si>
  <si>
    <t xml:space="preserve"> </t>
  </si>
  <si>
    <t>Consumer information, Labelling,Protection of Human health or Safety</t>
  </si>
  <si>
    <t>G/TBT/N/KOR/696</t>
  </si>
  <si>
    <t>Proposed Amendments for "Standards and Specifications of Health Functional Foods" (22 pages, available in Korean)</t>
  </si>
  <si>
    <t>The main proposed amendment of the "Standards and Specifications ofHealth Functional Foods" as the following;Add a definition of "film" to the sub article 5 "Definition and types of products"Revise the definition of functional raw ingredient in common standard and specification: from "processed raw ingredients from animal, plant and microorganism" to "processed raw ingredients from animal, plant, microorganism, and water, etc."Expand the scope of applicants who are qualified to use functional ingredients. - Revise the qualification to use functional ingredients recognized under the Regulation on Approval of Functional Ingredients for Health Functional Food from "business operators with certification" to "people with certification"Add edible insectsto the list of food ingredients which can be used as raw materials of ProteinAdd test methods for film-type functional ingredients and Propolis extracts (Á-coumaricacid)</t>
  </si>
  <si>
    <t>https://docs.wto.org/imrd/directdoc.asp?DDFDocuments/t/G/TBTN16/KOR695.DOC</t>
  </si>
  <si>
    <t>https://docs.wto.org/imrd/directdoc.asp?DDFDocuments/t/G/TBTN16/KOR696.DOC</t>
  </si>
  <si>
    <t>http://www.epingalert.org/en/#/details/G/TBT/N/KOR/695","G/TBT/N/KOR/695</t>
  </si>
  <si>
    <t>http://www.epingalert.org/en/#/details/G/TBT/N/KOR/696","G/TBT/N/KOR/696</t>
  </si>
  <si>
    <t>G/TBT/N/USA/1245</t>
  </si>
  <si>
    <t>Pet Food (3 pages, in English)</t>
  </si>
  <si>
    <t>Proposes amendments to 4 TAC Chapter 63, Pet Food, by updating Section 63.9 Statement of Caloric Content and adding new Section 63.10 Descriptive Terms.</t>
  </si>
  <si>
    <t>Pet food</t>
  </si>
  <si>
    <t xml:space="preserve"> ICS codes: 65.120</t>
  </si>
  <si>
    <t>https://docs.wto.org/imrd/directdoc.asp?DDFDocuments/t/G/TBTN16/USA1245.DOC</t>
  </si>
  <si>
    <t>http://http://www.epingalert.org/en/#/details/G/TBT/N/USA/1245</t>
  </si>
  <si>
    <t>G/SPS/N/EU/174</t>
  </si>
  <si>
    <t>Annexes to "Draft Commission Regulation amending Annexes II and III to Regulation (EC) No 396/2005 of the European Parliament and the Council as regards maximum residue levels for acrinathrin, metalaxyl and thiabendazole in or on certain products"</t>
  </si>
  <si>
    <t>These notified annexes to the draft Regulation set proposed maximum residue levels (MRLs) for the substances acrinathrin, metalaxyl and thiabendazole. MRLs for these substances in certain commodities are changed: either increased or lowered. Lower MRLs are set after updating the limit of determinations and/or deleting old uses which are not authorised any more in the European Union or for which a human health concern may not be excluded. The residue definitions of the substances have also been updated.</t>
  </si>
  <si>
    <t>Cereals (HS Codes: 1001, 1002, 1003, 1004, 1005, 1006, 1007, 1008), foodstuffs of animal origin (HS Codes: 0201, 0202, 0203, 0204, 0205, 0206, 0207, 0208, 0209, 0210) and certain products of plant origin, including fruit and vegetables</t>
  </si>
  <si>
    <t xml:space="preserve">HS codes: 1008,0207,0202,1007,1003,0209,0208,0201,0203,1002,0206,0204,1004,0210,0205,1001,1006,1005 </t>
  </si>
  <si>
    <t>Food safety,Human health,Maximum residue limits (MRLs),Pesticides</t>
  </si>
  <si>
    <t>https://docs.wto.org/imrd/directdoc.asp?DDFDocuments/t/G/SPS/NEU174.DOC</t>
  </si>
  <si>
    <t>http://www.epingalert.org/en/#/details/G/SPS/N/EU/174</t>
  </si>
  <si>
    <t>G/SPS/N/EU/176</t>
  </si>
  <si>
    <t>Annexes to Draft Commission Regulation amending Annexes II and III to Regulation (EC) No 396/2005 of the European Parliament and of the Council as regards maximum residue levels for dimethoate and omethoate in or on certain products (Text with EEA relevance)</t>
  </si>
  <si>
    <t>These notified annexes to the draft Regulation set proposed maximum residue levels for Dimethoate and omethoate in or on certain products in Annex II to Regulation (EC) No 396/2005. MRLs for these substances in certain commodities are changed: either increased or lowered. Higher MRLs are set to accommodate new uses in the European Union and in third countries which export those commodities to the European Union. Lower MRLs are set after updating the limit of determination and/or deleting old uses which are not authorized any more in the European Union or for which there is not enough data for an MRL to be set.</t>
  </si>
  <si>
    <t xml:space="preserve">HS codes: 1007,0206,0207,1008,1005,0210,0209,1001,1002,0201,1004,0202,0208,1006,0205,0203,0204,1003 </t>
  </si>
  <si>
    <t>G/SPS/N/CAN/1085</t>
  </si>
  <si>
    <t>Proposed Maximum Residue Limit: Carfentrazone-ethyl (PMRL2016-72)</t>
  </si>
  <si>
    <t xml:space="preserve">The objective of the notified document PMRL2016-72 is to consult on the listed domestic maximum residue limit (MRL) for carfentrazone-ethyl that has been proposed by the Health Canada's Pest Management Regulatory Agency (PMRA).
MRL (ppm) Raw Agricultural Commodity (RAC) and/or Processed Commodity
0.1 Wild raspberries
ppm = parts per million
</t>
  </si>
  <si>
    <t>Pesticide carfentrazone-ethyl in or on wild raspberries (ICS Codes: 65.020, 65.100, 67.040, 67.080)</t>
  </si>
  <si>
    <t xml:space="preserve">HS codes: 081020 </t>
  </si>
  <si>
    <t>G/SPS/N/CAN/1086</t>
  </si>
  <si>
    <t>Proposed Maximum Residue Limit: Penflufen (PMRL2016-71)</t>
  </si>
  <si>
    <t xml:space="preserve">The objective of the notified document PMRL2016-71 is to consult on the listed domestic maximum residue limit (MRL) for penflufen that has been proposed by the Health Canada's Pest Management Regulatory Agency (PMRA).
MRL (ppm)1 Raw Agricultural Commodity (RAC) and/or Processed Commodity
0.01 Sugar beet roots
1 ppm = parts per million
</t>
  </si>
  <si>
    <t>Pesticide penflufen in or on sugar beet roots (ICS Codes: 65.020, 65.100, 67.040, 67.080)</t>
  </si>
  <si>
    <t>G/SPS/N/CAN/1087</t>
  </si>
  <si>
    <t>Proposed Maximum Residue Limit: Flumethrin (PMRL2016-73)</t>
  </si>
  <si>
    <t>The objective of the notified document PMRL2016-73 is to consult on the listed domestic maximum residue limit (MRL) for flumethrin that has been proposed by the Health Canada's Pest Management Regulatory Agency (PMRA).
MRL (ppm)1 Raw Agricultural Commodity (RAC) and/or Processed Commodity
0.0032 Honey
1 ppm = parts per million.
2 Based on a LOQ of 0.003 ppm.</t>
  </si>
  <si>
    <t>Pesticide flumethrin in or on honey (ICS Codes: 65.020, 65.100, 67.040, 67.180)</t>
  </si>
  <si>
    <t xml:space="preserve">HS codes: 0409 </t>
  </si>
  <si>
    <t>G/SPS/N/CAN/1084</t>
  </si>
  <si>
    <t>Food Labelling Modernization</t>
  </si>
  <si>
    <t>The Canadian Food Inspection Agency has launched a public consultation on key proposals related to Food Label Modernization via an online discussion paper and questionnaire. This questionnaire will be open until 28 February 2017. CFIA is looking for feedback on key proposals, which include modernizing regulations and establishing a new approach to truthful and not misleading food labelling. Responses received as a result of this consultation will be considered in drafting the regulations. Once the regulations are developed, Canada will notify the draft measure through the World Trade Organization (WTO). 
This consultation has been notified under the TBT Agreement (G/TBT/N/CAN/506).</t>
  </si>
  <si>
    <t>Food intended for human consumption (ICS Codes: 67.020; 55.200)</t>
  </si>
  <si>
    <t>Food safety,Human health</t>
  </si>
  <si>
    <t>G/SPS/N/CAN/1036/Add.1</t>
  </si>
  <si>
    <t>Sucrose Monoesters (ICS Codes: 67.220.20, 67.160.01)</t>
  </si>
  <si>
    <t>G/SPS/N/AUS/410</t>
  </si>
  <si>
    <t xml:space="preserve">Fresh (chilled or frozen) beef and beef products from Japan, the Netherlands, New Zealand, the United States and Vanuatu - Draft review </t>
  </si>
  <si>
    <t>A draft report on a risk assessment of the animal and human health risks associated with imported fresh (chilled or frozen) beef and beef products from Japan, the Netherlands, New Zealand, the United States of America and Vanuatu.</t>
  </si>
  <si>
    <t>Fresh (chilled or frozen) beef and beef products for human consumption</t>
  </si>
  <si>
    <t xml:space="preserve">HS codes: 0201 </t>
  </si>
  <si>
    <t>G/SPS/N/CAN/1089</t>
  </si>
  <si>
    <t>Proposed Maximum Residue Limit: Myclobutanil (PMRL2016-74)</t>
  </si>
  <si>
    <t>The objective of the notified document PMRL2016-74 is to consult on the listed domestic maximum residue limits (MRLs) for myclobutanil that have been proposed by the Health Canada's Pest Management Regulatory Agency (PMRA).
MRL (ppm) Raw Agricultural Commodity (RAC) and/or Processed Commodity
0.1 Grain lupin, dry kidney beans, dry lima beans, dry navy beans, dry pink beans, dry pinto beans, dry tepary beans, dry beans, dry adzuki beans, dry blackeyed peas, dry catjang seeds, dry cowpea seeds, dry moth beans, dry mung beans, dry rice beans, dry southern peas, dry urd beans, dry broad beans, dry guar seed, dry lablab beans 
ppm = parts per million</t>
  </si>
  <si>
    <t>Pesticide myclobutanil in or on various commodities (ICS Codes: 65.020, 65.100, 67.040, 67.060)</t>
  </si>
  <si>
    <t>Saudi Arabia, Kingdom of</t>
  </si>
  <si>
    <t>G/SPS/N/SAU/14/Add.2</t>
  </si>
  <si>
    <t>Food safety,Animal health,Plant protection,Protect humans from animal/plant pest or disease</t>
  </si>
  <si>
    <t>Adoption/publication/entry into force of reg.,Modification of content/scope of regulation</t>
  </si>
  <si>
    <t>G/TBT/N/EU/432</t>
  </si>
  <si>
    <t>Proposal for a Regulation of the European Parliament and of the Council on the definition, presentation, labelling of spirit drinks, the use of the names of spirit drinks in the presentation and labelling of other foodstuffs and the protection of geographical indications of spirit drinks (COM(2016) 750) (32 pages + Annex 23 pages, in English).</t>
  </si>
  <si>
    <t>This proposal for a Regulation lays down detailed rules as regards the definition, presentation, labelling of spirit drinks and the registration of geographical indications. It repeals Regulation (EC) No 110/2008. Please note that even if intellectual property right issues, in particular related to geographical indications, are part of the notified measure, only the provisions related to technical standards, definitions and labelling would be relevant for the purpose of the TBT Agreement.</t>
  </si>
  <si>
    <r>
      <t>Reglamento de la Ley N° 30021, Ley de Promoción de la Alimentación Saludable que consta de cinco (05) títulos, dieciocho (18) artículos y cinco (05) disposiciones complementarias finales</t>
    </r>
    <r>
      <rPr>
        <sz val="9"/>
        <color theme="1"/>
        <rFont val="Verdana"/>
        <family val="2"/>
      </rPr>
      <t xml:space="preserve"> (Regulations implementing Law No. 30021, Law to Promote Healthy Eating, which contains five titles, 18 articles and five final supplementary provisions) (5 pages, in Spanish)</t>
    </r>
  </si>
  <si>
    <t>The notified regulations establish provisions and steps to be implemented for the purposes of applying and complying with the Law to Promote Healthy Eating among Children and Adolescents, Law No. 30021.</t>
  </si>
  <si>
    <t>G/TBT/N/CHL/379</t>
  </si>
  <si>
    <t>Dirección General de Relaciones Económicas Internacionales - Ministerio de Relaciones Exteriores</t>
  </si>
  <si>
    <t>G/TBT/N/CHL/378</t>
  </si>
  <si>
    <t>The notified draft text introduces the new Articles 110 bis and 497 bis, which regulate all cinema and television advertising for products containing nutrients in quantities exceeding the limits established in Table I of Article 120 bis and which establish restrictions on the advertising of starter and follow-up formulas for infants under 12 months old.</t>
  </si>
  <si>
    <t>Amendment to the Food Health Regulations, Supreme Decree No. 977/96 of the Ministry of Health, regulating the provisions of Law No. 20.869 of 2015 on food advertising (2 pages, in Spanish)</t>
  </si>
  <si>
    <t>67 - FOOD TECHNOLOGY</t>
  </si>
  <si>
    <t>Draft legislative text on the graphic and communication-related requirements to be met by the message promoting healthy lifestyle habits that is to be used in mass media advertising, as referred to in Article 110 bis of the Food Health Regulations (Ministry of Health Supreme Decree No. 977/96), which regulates the provisions of Law No. 20.606 of 2012 on food advertising (12 pages, in Spanish)</t>
  </si>
  <si>
    <t>Draft legislative text on the graphic and communication-related requirements to be met by the message promoting healthy lifestyle habits that is to be used in mass media advertising.</t>
  </si>
  <si>
    <t>G/SPS/N/CAN/1088</t>
  </si>
  <si>
    <t>Notice of Modification to the List of Permitted Sweeteners to Enable the Use of Sucralose as a Sweetener in Nutritional Supplement Dry Soup Mixes - Reference Number: NOM/ADM-0082</t>
  </si>
  <si>
    <t>Sucralose (ICS Code: 67.220.20)</t>
  </si>
  <si>
    <t>Health Canada's Food Directorate completed a detailed safety assessment of a food additive submission seeking approval for the use of sucralose as a sweetener in nutritional supplement dry soup. Sucralose is already permitted for use in Canada as a sweetener in a wide variety of foods at various maximum levels of use. As no safety concerns were raised through Health Canada's assessment the Department has enabled the food additive use of sucralose as described in the information document below by updating the List of Permitted Sweeteners (http://www.hc-sc.gc.ca/fn-an/securit/addit/list/9-sweetener-edulcorant-eng.php )  effective 25 November 2016.  The purpose of this communication is to publically announce the Department's decision in this regard and to provide the appropriate contact information for any inquiries or for those wishing to submit any new scientific information relevant to the safety of this food additive.</t>
  </si>
  <si>
    <t>G/SPS/N/TPKM/419</t>
  </si>
  <si>
    <t>Draft of  Standards for Pesticide Residue Limits in Foods</t>
  </si>
  <si>
    <t>Draft of pesticide MRLs for Chlorothalonil  Dimethomorph  Dinotefuran  Fluensulfone  Fluopicolide  Fluopyram  Fluxapyroxad  Glufosinate-ammonium  Hymexazol  Imidacloprid  Indoxacarb  Kasugamycin  Propamocarb hydrochloride  Proquinazid  Pyraclostrobin  Spinetoram  Spiromesifen  Sulfoxaflor  Tebuconazole  Tecloftalam  Thiamethoxam and Trifloxystrobin in fruits  vegetables or herbs.</t>
  </si>
  <si>
    <t>Fruits  vegetables and herbs</t>
  </si>
  <si>
    <t>G/SPS/N/JPN/483</t>
  </si>
  <si>
    <t>Amendment to the Enforcement Ordinance of the Food Sanitation Act and the Standards and Specifications for Foods and Food Additives</t>
  </si>
  <si>
    <t>To establish the specifications for non-synthetic food additives and to revise the existing standards and specifications  for example testing methods.</t>
  </si>
  <si>
    <t>G/SPS/N/KOR/552</t>
  </si>
  <si>
    <t>The proposed amendments seek to: - Establish the general testing method for four pesticides (Picarbutrazox  Benzovindiflupyr  Methoxyfenozide and Sulfoxaflor)  - Establish and revise the maximum residue limits for 74 pesticides in agricultural products  - Revise the maximum residue limit for dithiocarbamates in ginseng  and - Establish and revise the maximum residue limits for two pesticides (Methoxyfenozide and Sulfoxaflor) in livestock products.</t>
  </si>
  <si>
    <t>G/TBT/N/USA/1116/Add.3</t>
  </si>
  <si>
    <t>TITLE: Proposition 65 Bisphenol A AGENCY: California Office of Environmental Health Hazard Assessment  State of California ACTION:&amp;nbsp  Notice of adoptionSUMMARY: On 30 November 2016  the Office of Administrative Law approved the Certificate of Compliance for the regular rulemaking to replace the emergency regulations currently in effect in Title 27  California Code of Regulations section 25603.3 (f) and (g).&amp;nbsp  This regulatory action maintains the language from the emergency regulation filed in April 2016  with some changes and additions.http://oehha.ca.gov/proposition-65/crnr/notice-adoption-warnings-exposures-bisphenol-canned-and-bottled-foods-andCalifornia Regulatory Notice Register 9 December 2016 (page 2143): https://oal.blogs.ca.gov/files/2016/12/50z-2016.pdfFinal Statement of Reasons Title 27  California Code of RegulationsProposed Amendment to Section 25603.3 Warnings for Exposures to Bisphenol A from Canned and Bottled Foods and Beverages:http://oehha.ca.gov/media/downloads/crnr/fsoramendedbpawarnings120116.pdfFinal Regulatory Text:http://oehha.ca.gov/media/downloads/crnr/bpafinallanguage12022016.pdf</t>
  </si>
  <si>
    <t>Addenda/Corrigenda</t>
  </si>
  <si>
    <t>G/SPS/N/BRA/1203</t>
  </si>
  <si>
    <t>Amendment of regulation aiming to update the procedures of sanitary inspection system recognition of countries that intend to export animal origin products to Brazil</t>
  </si>
  <si>
    <t>The Secretariat of Animal and Plant Health and Inspection - SDA of the Ministry of Agriculture  Livestock and Food Supply - MAPA  aiming to modernize the procedures for equivalence recognition of foreign sanitary inspection systems with regard to export animal products to Brazil  published Portaria SDA/MAPA nº 126/2016 amending Portaria SDA/MAPA nº 183/1998.</t>
  </si>
  <si>
    <t>HS Code(s): 02  03  04  05  ICS Code(s): 65  67  13</t>
  </si>
  <si>
    <t>G/TBT/N/PRY/89</t>
  </si>
  <si>
    <t xml:space="preserve">Proyecto de Reglamento Técnico, por el cual se aprueba el Reglamento Técnico que establece requisitos para el etiquetado de alérgenos alimentarios y sulfitos en los alimentos envasados (Draft Technical Regulation approving the Technical Regulation establishing labelling requirements for food allergens and sulphites in packaged foods) </t>
  </si>
  <si>
    <t>The notified Technical Regulation establishes the labelling requirements applicable to food allergens and sulphites in packaged foods.</t>
  </si>
  <si>
    <t>Labelling of food allergens and sulphites in packaged foods</t>
  </si>
  <si>
    <t>Protection of human health</t>
  </si>
  <si>
    <t>https://docs.wto.org/dol2fe/Pages/SS/DirectDoc.aspx?filename=t%3a%2fg%2ftbtn16%2fpry89.doc&amp;</t>
  </si>
  <si>
    <t>In the notification G/SPS/N/KOR/552  the previously notified document need to be replaced with the attachment within this corrigendum. http://members.wto.org/crnattachments/2016/SPS/KOR/16_5173_00_x.pdf</t>
  </si>
  <si>
    <t>G/SPS/N/KOR/552/Corr.1</t>
  </si>
  <si>
    <t>The Union list of flavourings and source materials is laid down in Annex I to Regulation (EC) No 1334/3008. The Union list was established by Commission Implementing Regulation (EU) No 872/2012. This list will be amended by the notified measure.  This amendment concerns the modification of the conditions of use of the twenty flavouring substances mentioned in the annex of the measure. The European Food Safety Authority (EFSA) evaluated the genotoxicity of these substances taking into account the data on the following two substances selected as representative of the group  hexa-2(trans) 4(trans)-dienal (FL-no: 05.057)  and deca-2(trans) 4(trans)-dienal (FL-no: 05.140) in its scientific opinion of 26 March 2014. Overall  EFSA concluded that the safety concern regarding genotoxicity cannot be ruled out for both representative substances of the group and that this conclusion is likewise applicable to the other substances of this FGE group 203. The current measure concerns a modification of the conditions of use of the abovementioned substances of group FGE.203 to prevent the further extension of their uses to other food categories where currently there is no use and to more closely reflect the current real uses in the food categories specified by establishing maximum levels for the food categories where they are used in order to contain  the consumer exposure to these substances.  The measure takes into account the current uses reported by industry and therefore it is unlikely that international trade in foods containing these flavourings  flavourings or mixtures of flavourings containing these flavourings will be affected. Nevertheless  transitional measures will apply for products en route to the European Union and here will be a period of 20 days after the publication before entry into force.  EFSA will evaluate further data on the genotoxicity of these substances. However  it is anticipated that the complete evaluation of first the genotoxicity and subsequently  if appropriate  the complete evaluation of each of the twenty substances will take well beyond a year. Therefore  it is appropriate to adopt this measure at this stage.  The provisions of Article 15 g of Regulation 1334/2008 on flavourings will also be applicable to these flavourings as it is the case for all flavourings with maximum levels in foods.  The draft measure has been the object of a public request for comments under the Better Regulation approach established by the Commission. The operators have had therefore additional time to consider any adjustment in their practices if necessary before the measure enters into force.  Any follow-up measure regarding these substances will also be notified under this mechanism.</t>
  </si>
  <si>
    <t>Commission Regulation (EU) amending Annex I to Regulation (EC) No 1334/2008 of the European Parliament and of the Council as regards certain flavouring substances (Text with EEA relevance)</t>
  </si>
  <si>
    <t>G/SPS/N/EU/177</t>
  </si>
  <si>
    <t>All imported foods</t>
  </si>
  <si>
    <t>The Department of Agriculture and Water Resources (the department) is seeking submissions on a range of policy proposals under the Imported Food Control Regulations 1993 (the Regulations). These proposals are being considered as part of the department's review of the Regulations which are required to be remade prior to their expiry on 1 October 2018. Specific detail on the remaking of these regulations is available here: http://www.agriculture.gov.au/import/goods/food/imported-food-control-regulations. It is expected that these changes would take effect after December 2017 and before October 2018.</t>
  </si>
  <si>
    <t>Proposals for changes to the imported food regulations</t>
  </si>
  <si>
    <t>G/SPS/N/AUS/411</t>
  </si>
  <si>
    <t>G/SPS/N/CAN/1057/Add.1</t>
  </si>
  <si>
    <t>Pesticide spinetoram in or on various commodities (ICS Codes: 65.020, 65.100, 67.040, 67.080)</t>
  </si>
  <si>
    <t>G/SPS/N/CAN/1058/Add.1</t>
  </si>
  <si>
    <t>Limite maximale de résidus fixée: Chlorantraniliprole</t>
  </si>
  <si>
    <t>Le document de la série limite maximale de résidus proposée (PMRL) concernant le chlorantraniliprole de la notification G/SPS/N/CAN/1058 (datée du 30 septembre 2016) est entré en vigueur le 21 décembre 2016. La LMR proposée est fixée à la date de sa saisie dans la base de données sur les limites maximales de résidus et elle est indiquée ci-dessous.  
LMR (ppm)      Produit agricole brut (PAB) et/ou produit transformé
40                   Houblon sec
ppm = partie par million
Les LMR fixées au Canada peuvent être obtenues au moyen de la base de données sur les LMR (http://pr-rp.hc-sc.gc.ca/mrl-lrm/index-fra.php) comme il est indiqué à la page Limites maximales de résidus pour pesticides (http://www.hc-sc.gc.ca/cps-spc/pest/part/protect-proteger/food-nourriture/mrl-lmr-fra.php) du site Web de Santé Canada. La base de données permet aux utilisateurs de faire une recherche par pesticide ou par denrée.</t>
  </si>
  <si>
    <t>Le pesticide Chlorantraniliprole dans ou sur le houblon (Codes ICS: 65.020, 65.100, 67.040, 67.220)</t>
  </si>
  <si>
    <t>G/SPS/N/USA/2570/Add.5</t>
  </si>
  <si>
    <t>Human food under the jurisdiction of the US Food and Drug Administration which excludes meat, poultry and processed egg products. HS Codes: 03, 04, 05, 07, 08, 09, 10, 11, 12, 15, 16, 17, 18, 19, 20, 21, 22; ICS Codes: 65, 67</t>
  </si>
  <si>
    <t>G/SPS/N/USA/2570/Add.6</t>
  </si>
  <si>
    <t>G/SPS/N/TUR/83</t>
  </si>
  <si>
    <t>Draft Regulation on determination of animal health rules for importation of poultry and hatching eggs</t>
  </si>
  <si>
    <t>This regulation determines rules regarding animal health requirements for the importation of poultry and hatching eggs which are intended to breeding or consumption or fed/kept for the supply of game animals.</t>
  </si>
  <si>
    <t>Animal and animal products</t>
  </si>
  <si>
    <t xml:space="preserve">HS codes: 0207,0407 </t>
  </si>
  <si>
    <t>Food safety,Animal health</t>
  </si>
  <si>
    <t>Animal diseases,Animal health,Food safety,Human health</t>
  </si>
  <si>
    <t>G/TBT/N/USA/1249</t>
  </si>
  <si>
    <t>Food Labelling: Health Claims; Dietary Saturated Fat and Cholesterol and Risk of Coronary Heart Disease (7 pages, in English)</t>
  </si>
  <si>
    <t xml:space="preserve">The Food and Drug Administration (FDA or we) is amending the regulation authorizing a health claim on the relationship between dietary saturated fat and cholesterol and risk of coronary heart disease (CHD) to permit raw fruits and vegetables that fail to comply with the "low fat" definition and/or the minimum nutrient content requirement to be eligible to bear the claim. We are taking this action in response to a petition submitted by the American Heart Association (the petitioner). The amendment expands the use of this health claim to certain fruits and vegetables that are currently ineligible for the health claim. </t>
  </si>
  <si>
    <t>Food labelling</t>
  </si>
  <si>
    <t xml:space="preserve"> ICS codes: 67.040</t>
  </si>
  <si>
    <t>Prevention of deceptive practices and consumer protection,Protection of Human health or Safety</t>
  </si>
  <si>
    <t>Uniform Compliance Date for Food Labeling Regulations</t>
  </si>
  <si>
    <t>The Food Safety and Inspection Service (FSIS) is establishing 1 January 2018, as the uniform compliance date for new meat and poultry product labeling regulations that are issued between 1 January 2015, and 31 December 2016. FSIS periodically announces uniform compliance dates for new meat and poultry product labeling regulations to minimize the economic impact of label changes.</t>
  </si>
  <si>
    <t xml:space="preserve">Food labeling. </t>
  </si>
  <si>
    <t>Protection of human health or safety</t>
  </si>
  <si>
    <t>http://ec.europa.eu/growth/tools-databases/tbt/nview.cfm?p=USA_938_EN</t>
  </si>
  <si>
    <t xml:space="preserve">http://ec.europa.eu/growth/tools-databases/tbt/nview.cfm?p=USA_1156_EN </t>
  </si>
  <si>
    <t>G/TBT/N/USA/1156 - Addendum 1 - AD. 1 - Final Rule</t>
  </si>
  <si>
    <t>G/TBT/N/USA/938 - Addendum 1 - Add.1 - Final Rule</t>
  </si>
  <si>
    <t>G/TBT/N/TPKM/185/- Draft Text - Revision 3 - Rev.2 Add.1</t>
  </si>
  <si>
    <t>G/TBT/N/TPKM/185/Rev.2/Add.1 The Separate Customs Territory of Taiwan,Penghu, Kinmen and Matsu would like to notify that the "Regulations governing the labeling of special dietary foods for patients" was promulgated on 19 December 2016 and renamed as "Regulations governing the labeling of formula for certain disease." Effective date: 01 January 2017.The texts of regulations are available on the TFDA website: http://www.fda.gov.tw/TC/news.aspx</t>
  </si>
  <si>
    <t>https://docs.wto.org/dol2fe/Pages/SS/DirectDoc.aspx?filename=t%3a%2fg%2ftbtn14%2ftpkm185r2a1.doc&amp;</t>
  </si>
  <si>
    <t>G/TBT/N/USA/1152/Add.1</t>
  </si>
  <si>
    <t xml:space="preserve">TITLE: United States Standards for Grades of Canned VegetablesAGENCY: Agricultural Marketing Service  USDAACTION: Final notice of U.S. grade standardsSUMMARY: The Agricultural Marketing Service (AMS) of the Department of Agriculture (USDA) is revising 18 U.S. grade standards for canned vegetables issued on or before 3 August 1998. AMS is replacing the two-term grading system (dual nomenclature) with a single term to describe each quality level for the grade standards identified in this document. Terms using the letter grade will be retained and the descriptive term will be eliminated. For example  grade standards using the term "U.S. Grade A" or "U.S. Fancy" will be revised to use only the term "U.S. Grade A." Likewise  grade standards using the term "U.S. Grade B" or "U.S. Extra Standard" will be revised to use the single term "U.S. Grade B." These changes will bring the grade standards in line with the present quality levels being marketed today and provide guidance in the effective use of these products. Editorial changes will also be made to the grade standards that conform to recent changes made in other grade standards.These grade standards go into effect 20 January 2017.  </t>
  </si>
  <si>
    <t>Canned vegetables. Fruits. Vegetables (ICS: 67.080)</t>
  </si>
  <si>
    <t>https://docs.wto.org/dol2fe/Pages/SS/DirectDoc.aspx?filename=t%3a%2fg%2ftbtn16%2fusa1152a1.doc&amp;</t>
  </si>
  <si>
    <t>Macao, China</t>
  </si>
  <si>
    <t>G/SPS/N/MAC/20</t>
  </si>
  <si>
    <t>Regulamento Administrativo No. 28/2016 Requisitos relativos aos ingredientes nutritivos dos preparados para lactentes (Nutritional Requirements for Infant Formula)</t>
  </si>
  <si>
    <t>The Administrative Regulation No. 28/2016 "Requisitos relativos aos ingredientes nutritivos dos preparados para lactentes" (Nutritional Requirements for Infant Formula) is a food safety standard that establishes the requirements on nutritional ingredients in infant formula. It sets out the requirements on energy value, nutrient content and the ratio of certain nutrients to ensure the healthy growth of infants. In the definition of this regulation, "Infant" means a person not more than 12 months of age; "Infant formula" means a breast-milk substitute specially manufactured to satisfy, by itself, the nutritional requirements of infants during the first months of life up to the introduction of appropriate complementary feeding. The Administration Regulation does not apply to formulas for special medical purposes intended for infants. This Administrative Regulation shall enter into force 90 days after its publication.</t>
  </si>
  <si>
    <t xml:space="preserve">HS codes: 190110 </t>
  </si>
  <si>
    <t>G/SPS/N/CAN/1060/Add.1</t>
  </si>
  <si>
    <t>Pesticide sulfuryl fluoride in or on various commodities (ICS Codes: 65.020, 65.100, 67.040, 67.060, 67.080, 67.140)</t>
  </si>
  <si>
    <t xml:space="preserve">HS codes: 09,18,11 </t>
  </si>
  <si>
    <t>G/SPS/N/CAN/1061/Add.1</t>
  </si>
  <si>
    <t>Limites maximales de résidus fixées: Tolfenpyrade</t>
  </si>
  <si>
    <t>Le document de la série limite maximale de résidus proposée (PMRL) concernant le tolfenpyrade de la notification G/SPS/N/CAN/1061 (daté du 10 octobre 2016) est entré en vigueur le 2 janvier 2017. Les LMR proposées sont fixées à la date de leur saisie dans la base de données sur les limites maximales de résidus et elles sont indiquées ci-dessous.  
LMR (ppm)        Produit agricole brut (PAB) et/ou produit transformé
70                    Huile d'agrumes
30                    Légumes-feuilles (sauf ceux du genre Brassica) (groupe de cultures 4), à l'exception des épinards; thé (feuilles séchées)
3,0                   Prunes à pruneaux séchées
2,0                   Fruits à noyau (groupe de cultures 12-09)
1,5                   Agrumes (groupe de cultures 10R)
0,7                   Graines de coton non délintées
0,05                 Noix au sens large, arachides exclues (groupe de cultures 14-11)
0,01                 Pommes de terre
ppm = partie par million
Une LMR est fixée pour chaque denrée faisant partie des groupes de cultures présentés à la page Groupes de cultures et propriétés chimiques de leurs résidus (http://www.hc-sc.gc.ca/cps-spc/pest/part/protect-proteger/food-nourriture/rccg-gcpcr-fra.php) dans la section Pesticides et lutte antiparasitaire du site Web de Santé Canada.
Les LMR fixées au Canada peuvent être obtenues au moyen de la base de données sur les LMR (http://pr-rp.hc-sc.gc.ca/mrl-lrm/index-fra.php) comme il est indiqué à la page Limites maximales de résidus pour pesticides (http://www.hc-sc.gc.ca/cps-spc/pest/part/protect-proteger/food-nourriture/mrl-lmr-fra.php) du site Web de Santé Canada. La base de données permet aux utilisateurs de faire une recherche par pesticide ou par denrée.</t>
  </si>
  <si>
    <t>Le pesticide tolfenpyrade dans ou sur diverses cultures (Codes ICS: 65.020, 65.100, 67.040, 67.080, 67.140, 67.200)</t>
  </si>
  <si>
    <t>G/SPS/N/CAN/1062/Add.1</t>
  </si>
  <si>
    <t>Pesticide zoxamide in or on various commodities (ICS Codes: 65.020, 65.100, 67.040, 67.080)</t>
  </si>
  <si>
    <t>G/SPS/N/TPKM/406/Add.2</t>
  </si>
  <si>
    <t xml:space="preserve">HS codes: 2208 </t>
  </si>
  <si>
    <t>Beverages,Food additives,Food safety,Human health</t>
  </si>
  <si>
    <t>G/SPS/N/OMN/44/Rev.1/Add.1</t>
  </si>
  <si>
    <t>All imported food
- Specific certificates for animals: animal products (meat and its derivatives).
- Bird products and derivative products.
- Fish and products and their derivatives.
- Phytosanitary: plant products and their derivatives and products.</t>
  </si>
  <si>
    <t xml:space="preserve">HS codes: 02,03 </t>
  </si>
  <si>
    <t>Food safety,Protect territory from other damage from pests</t>
  </si>
  <si>
    <t>G/TBT/N/USA/1251</t>
  </si>
  <si>
    <t>Containers of Cider (amending 3 Virginia Administrative Code 5-70-20) (3 pages, in English).</t>
  </si>
  <si>
    <t>Expands the sizes of containers in which cider is permitted to be sold in the Commonwealth.</t>
  </si>
  <si>
    <t>Cider</t>
  </si>
  <si>
    <t xml:space="preserve"> ICS codes: 67.160</t>
  </si>
  <si>
    <t>G/SPS/N/CAN/1090</t>
  </si>
  <si>
    <t>Health Canada's Proposal to Modify the Currently Permitted Uses of the Colouring Agent Amaranth in Various Foods - Reference Number: NOP/AVP-0023</t>
  </si>
  <si>
    <t>Health Canada has conducted a re-evaluation of the approved food additive uses of the colouring agent amaranth, which is currently permitted at a maximum level of use of 300 parts per million (p.p.m.), singly or in combination with other specified synthetic colours. The re-evaluation was conducted in support of a broader review of fifty-two azo acid dyes carried out as part of the Government of Canada's Chemicals Management Plan (http://www.chemicalsubstanceschimiques.gc.ca/fact-fait/glance-bref/acid_acides-eng.php).
The results of Health Canada's re-evaluation of available data on the concentrations of amaranth actually used in foods sold in Canada reveal that exposure to amaranth is within acceptable levels from a food safety perspective. However, the existing maximum levels of use for amaranth that appear in the List of Permitted Colouring Agents (http://www.hc-sc.gc.ca/fn-an/securit/addit/list/3-colour-color-eng.php) are generally higher than actual use levels and would allow for elevated exposures if actual use levels ever increased. In order to ensure that potential exposure to the food colouring agent amaranth remains within acceptable levels, it is the intention of Health Canada to modify the List of Permitted Colouring Agents by creating a unique listing for "Amaranth" (it is currently grouped in the List with five other synthetic colours) and by identifying maximum levels of use and other conditions that align with actual current uses.
As a result of this assessment, it is the intention of Health Canada to modify the List of Permitted Colouring Agents (http://www.hc-sc.gc.ca/fn-an/securit/addit/list/3-colour-color-eng.php) as described in the information document. The purpose of this communication is to publically announce the Department's intention in this regard and to provide the appropriate contact information for any inquiries or for those wishing to submit any new scientific information relevant to the safety of this food additive.</t>
  </si>
  <si>
    <t>Amaranth (ICS Code: 67.220.20)</t>
  </si>
  <si>
    <t>Food additives,Food safety,Human health</t>
  </si>
  <si>
    <t>G/SPS/N/IDN/114</t>
  </si>
  <si>
    <t>Regulation of the Minister of Agriculture of the Repulic of Indonesia No. 55/PERMENTAN/KR.040/11/2016 concerning Food Safety Control on the Importation of Fresh Food of Plant Origin</t>
  </si>
  <si>
    <t xml:space="preserve">This Regulation is substitutes of Regulation of the Minister of Agriculture No. 04/Permentan/PP.340/2/2015 concerning Food Safety Control on Importation and Exportation of Fresh Food of Plant Origin, and Regulation of the Minister of Agriculture No. 13/Permentan/Kr.040/4/2016 concerning Revision to the Regulation of the Minister of Agriculture No. 04/Permentan/PP.340/2/2015 concerning Food Safety Control on Importation and Exportation of Fresh Food of Plant Origin. 
This Regulation has been stipulated and enforced on 18 November 2016.
This regulation covers:
a. Types of FFPO commodities an contaminants;
b. Import requirements;
c. Recognition of food safety control system and registration of food safety testing laboratories of a country;
d. Import control;
e. Monitoring;
f. Suspension and revocation of recognition, revocation of registration, and closure of Fresh Food of Plant Origin (FFPO) importation from countries with food safety control  system has not been recognized and laboratory has not been registered;
g. Food Safety Emergency Situation
This regulation regulate some specifies changes of the Regulation of the Minister of Agriculture No.04/2015 as follows:
a. Reduction the type of regulated FFPO from 103 into 100 commodities. Dates, cocoa beans, and olives are excluded;
b. The mechanisms of FFPO Safety Control as follows:
- Recognition of food safety control system of origin country;
- Registration of food safety testing laboratory/ies in exporting country;
- Food safety inspection of FFPO importation from countries with food safety control system has not been recognize and laboratory has not been registered.
c. Changes on format and issuance of requirement documents;
d. Provisions of food safety control on exportation of FFPO will be regulated on separate regulation
Country recognition of food safety control system and registration of testing laboratories for FFPO that have been approved before the entry into force of this Regulation, remains valid until it expires.
Once this regulation has been enforced, the Regulation of Minister of Agriculture No. 04 of 2015 and No. 13 of 2016 will be revoked.
</t>
  </si>
  <si>
    <t>Fresh food of plant origin (fresh fruits, vegetables, grains, nuts, pulses and Estate/private crops)</t>
  </si>
  <si>
    <t>G/SPS/N/QAT/22/Add.3</t>
  </si>
  <si>
    <t>Food safety,Protect humans from animal/plant pest or disease</t>
  </si>
  <si>
    <t>G/SPS/N/CAN/1012/Add.1</t>
  </si>
  <si>
    <t>Leuconostoc carnosum 4010 (ICS Codes: 67.220, 67.120)</t>
  </si>
  <si>
    <t>G/SPS/N/AUS/410/Add.1</t>
  </si>
  <si>
    <t>G/TBT/N/CHL/384</t>
  </si>
  <si>
    <t xml:space="preserve">The notified text amends Article 115 of the Food Health Regulations so as to include the Atwater factors for the purposes of nutrition labelling. </t>
  </si>
  <si>
    <t xml:space="preserve">Modificación del Artículo 115 del Reglamento Sanitario de los Alimentos (Amendment to Article 115 of the Food Health Regulations) (4 pages, in Spanish) Relevant documents:
Supreme Decree No. 977/96 of the Ministry of Health
Law No. 20.606 on the nutritional composition of foods and food advertising
</t>
  </si>
  <si>
    <t>http://ec.europa.eu/growth/tools-databases/tbt/nview.cfm?p=CHL_384_EN</t>
  </si>
  <si>
    <t>G/TBT/N/CAN/451/Add.1</t>
  </si>
  <si>
    <t>Regulations Amending the Food and Drug Regulations (Nutrition Labelling  Other Labelling Provisions and Food Colours) The proposed amendment notified in G/TBT/N/CAN/451 (dated 19 June 2015) was adopted 2 December 2016 as the Regulations Amending the Food and Drug Regulations (Nutrition Labelling  Other Labelling Provisions and Food Colours). These Regulations come into force on 14 December 2016  on the day on which they are published in the Canada Gazette  Part II. Note: New Regulations include Transitional Provisions (reference section 76) The full text of the adopted measure can be downloaded from the Internet addresses indicated below: http://gazette.gc.ca/rp-pr/p2/2016/2016-12-14/html/sor-dors305-eng.php (English)http://gazette.gc.ca/rp-pr/p2/2016/2016-12-14/html/sor-dors305-fra.php (French) or requested from:Canada's SPS and TBT Notification Authority and Enquiry PointTechnical Barriers and Regulations DivisionGlobal Affairs Canada111 Sussex DriveOttawa  OntarioK1A 0G2Tel: +(343) 203 4273Fax: +(613) 943 0346E-mail: enquirypoint@international.gc.ca</t>
  </si>
  <si>
    <t>Protection of Human Health or Safety
Consumer Information, Labelling</t>
  </si>
  <si>
    <t xml:space="preserve">Prepackaged and prepared foods
Food products in general </t>
  </si>
  <si>
    <t>G/TBT/N/ECU/329</t>
  </si>
  <si>
    <t xml:space="preserve">Proyecto de Normativa Técnica Sanitaria para la obtención de la notificación sanitaria y control de alimentos para regímenes especiales de los establecimientos en donde se fabrican, almacenan, distribuyen, importan y comercializan (Draft Sanitary Technical Regulation on the issuance of sanitary certificates for foods for special dietary uses, and the control of establishments that manufacture, store, distribute, import or market such products) (24 pages, in Spanish) </t>
  </si>
  <si>
    <t>The notified draft Technical Regulation covers the following: Purpose and scope; Definitions and abbreviations; Sanitary certificates; Renewal of and changes to sanitary certificates; Certification of good manufacturing practices; Criteria for the formulation of foods for special dietary uses; Packaging and labelling; Other authorizations; Marketing and advertising; Operating permits for establishments concerned with foods for special dietary uses; General provisions; Transitional provisions; Amending provision; and Final provision.</t>
  </si>
  <si>
    <t>19011010; 19011091; 19011099; 20051000; 20052000; 20054000; 20055100; 20055900; 20056000; 20058000; and 21069080.</t>
  </si>
  <si>
    <t xml:space="preserve">The notified Sanitary Technical Regulation seeks to establish the requirements governing the issuance of sanitary certificates for foods for special dietary uses.
It also establishes parameters for manufacturing, production, formulation and labelling processes, quality and safety parameters, advertising criteria, and criteria for the control and monitoring of foods for special dietary uses in establishments that manufacture, store, distribute, import or market such products.
Scope: The notified Sanitary Technical Regulation is mandatory for natural and legal persons, whether domestic or foreign, that are responsible for manufacturing, importing, exporting, storing, distributing or marketing foods for special dietary uses in national territory.
</t>
  </si>
  <si>
    <t>https://docs.wto.org/imrd/directdoc.asp?DDFDocuments/t/G/TBTN16/ECU329.DOC</t>
  </si>
  <si>
    <t>G/SPS/N/SGP/58</t>
  </si>
  <si>
    <t>Contaminants, Food additives, Food safety, Heavy metals, Human health, Maximum residue limits (MRLs), Pesticides</t>
  </si>
  <si>
    <t>Food saftey</t>
  </si>
  <si>
    <t>https://docs.wto.org/imrd/directdoc.asp?DDFDocuments/t/G/SPS/NSGP58.DOC</t>
  </si>
  <si>
    <t>The Agri-Food and Veterinary Authority of Singapore (AVA) has completed a review of the Food Regulations and proposes the following amendments: a) To allow the use of the following new food additives and ingredients: i. Beet red (INS 162) and Spirulina extract (INS 134) or cyanobacterial-phycocyanin (C-PC) extracted from Spirulina platensis, as permitted colouring matters in food under good manufacturing practice; ii. Beta-palmitin, for use in infant formula, at levels not exceeding 80% of the total fat content of infant formula; iii. L-theanine, a flavour enhancer, for use in brewed tea, soft drinks, chocolate, chocolate confectionery, and sugar confectionery, at levels not exceeding 1,000 ppm; iv. Sodium ferrous citrate, a nutrient supplement, for use in food as a source of iron; v. 219 new enzymes for use in food under good manufacturing practice; b) To extend the use of the following existing food additives to additional food categories: i. Propionic acid (and its sodium, calcium and potassium salts) (INS 280, 281, 282 and 283) for use in the food categories "Hamburgers and similar products", "Meat, canned, cured, pickled, salted or smoked whether cooked or uncooked", and "Sausages, or sausage meat", at levels up to 2,500 ppm (as propionic acid); ii. Sulphur dioxide and sulphites (INS 220 - 228, 539) will be allowed in herbs and spices, at levels up to 150 ppm (calculated as sulphur dioxide), and in all types of flour, at levels up to 200 ppm (calculated as sulphur dioxide); iii. Quillaia extracts (Types I and II) (INS 999(i) and (ii)) for use in alcoholic beverages, up to a maximum level of 40 ppm (calculated as saponins). The current maximum permitted level for quillaia extracts in soft drinks will be revised to 50 ppm (calculated as saponins); iv. Steviol glycosides (INS 960) for use in the following food categories: Food category Maximum permitted level (ppm) Dairy-based drinks (flavoured and/or fermented) 200 Sauces, gravies and dressings, and their mixes 350 (except for soybean sauces, where up to 165 ppm is permitted) Seasoning and condiments (excluding sauces) 30 Confectionery (including hard and soft candy, nougats, and marzipans) 700 Cocoa and chocolate products 550 Soybean-based beverages 200 Vegetable, nut and seed spreads 330 v. Polyglycerol polyricinoleate (INS 476) for use as a permitted emulsifier/stabiliser in food, under good manufacturing practice; c) To allow the use of the following new health claim relating to barley beta-glucan for food complying with the prescribed criteria for use: "Barley beta-glucans have been shown to lower/reduce blood cholesterol. High blood cholesterol is a risk factor in the development of coronary heart disease." d) To allow the net quantity of prepacked rice to be declared in grams, or kilograms, as appropriate; e) To establish a maximum limit of 0.2 ppm for inorganic arsenic in polished rice; f) To revise the maximum limit for lead in infant formula (as consumed) to 0.01 ppm; g) To delete the maximum residue limits (MRLs) for 11 pesticides: captafol, carbophenothion, chlordimeform (and its metabolites), crufomate, dioxathion, diphenyl, etrimfos, fenchlorphos, fensulphothion, formothion and mevinphos; h) To revise the specific gravity of sesame oil to 0.915 - 0.924 and the iodine value of sunflower seed oil to 118 - 141.</t>
  </si>
  <si>
    <t>Draft Food (Amendment) Regulations 2017</t>
  </si>
  <si>
    <t>G/SPS/N/EU/179</t>
  </si>
  <si>
    <t>Commission Regulation laying down methods of sampling and analysis for the control of levels of dioxins  dioxin-like PCBs and non-dioxin-like PCBs in certain foodstuffs and repealing Regulation (EU) No 589/2014 (Text with EEA relevance)</t>
  </si>
  <si>
    <t>The draft Regulation relates to a technical update of the requirements for analysing dioxins and PCBs in food taking into account developments of technical and scientific knowledge and experiences gained in with the application of the current analytical requirements.</t>
  </si>
  <si>
    <t>Animal feed  Animal health  Contaminants  Dioxins</t>
  </si>
  <si>
    <t>G/SPS/N/EU/178</t>
  </si>
  <si>
    <t>Commission Regulation amending Regulation (EC) No 152/2009 as regards the methods for the determination of the levels of dioxins and polychlorinated biphenyls (Text with EEA relevance)</t>
  </si>
  <si>
    <t>The draft Regulation relates to a technical update of the requirements for analysing dioxins and PCBs in feed taking into account developments of technical and scientific knowledge and experiences gained in with the application of the current analytical requirements.</t>
  </si>
  <si>
    <t>Contaminants  Dioxins  Food safety  Human health</t>
  </si>
  <si>
    <t>Fresh (chilled or frozen) beef and beef products from Japan, the Netherlands, New Zealand, the United States and Vanuatu - Draft review</t>
  </si>
  <si>
    <t>In response to requests regarding the complexity of the issues covered in the Australian Government's Draft review entitled "Fresh (chilled or frozen) beef and beef products from Japan, the Netherlands, New Zealand, the United States and Vanuatu - Draft review", which was notified to the WTO through notification G/SPS/N/AUS/410 on 15 December 2016, an extension period is provided until 15 March 2017.</t>
  </si>
  <si>
    <t>G/TBT/N/IRL/3</t>
  </si>
  <si>
    <t xml:space="preserve">Provision of Mandatory Food Information to Consumers in Respect of Certain Non-Prepacked Meats - Regulations 2017 (16 pages, in English) </t>
  </si>
  <si>
    <t>Ireland intends to adopt national measures to cover mandatory origin labelling of fresh, chilled and frozen non pre-packed cuts of meat of swine, sheep, goats and poultry.&amp;nbsp; The legislation will require Food Business Operators (FBOs) to clearly show the "country of rearing" and "country of slaughter" of any of the above products at either the point of presentation, point of sale or the point of supply.&amp;nbsp; FBOs may, where they can prove to the competent authority that the meat referred to has been obtained from animals born, reared and slaughtered in one single Member State or third country,&amp;nbsp; present the "origin" of the meat as (name of single Member State or third country). The national measures require that where a FBO provides another FBO with meat, information relating to the meat is transmitted to the FBO receiving the meat in the manner prescribed in the national measures, in order to enable, when required, the provision of mandatory food information to the final consumer.</t>
  </si>
  <si>
    <t>Fresh, chilled and frozen non-prepacked cuts of meat of swine, sheep, goats and poultry offered for sale or supply</t>
  </si>
  <si>
    <t>HS codes: 0204,0207,0203 ICS codes: 67.120.10,67.120.20</t>
  </si>
  <si>
    <t>Prevention of deceptive practices and consumer protection,Quality requirements</t>
  </si>
  <si>
    <t>G/TBT/N/ARE/352#G/TBT/N/BHR/466#G/TBT/N/KWT/348#G/TBT/N/OMN/288#G/TBT/N/QAT/462#G/TBT/N/SAU/968#G/TBT/N/YEM/68</t>
  </si>
  <si>
    <t>Prepared Meats: Canned Corned Beef and Mutton Meat (8 pages, in Arabic)</t>
  </si>
  <si>
    <t>This Omani/Gulf draft technical regulation concerns canned beef products designated as "Corned Beef" and sold in hermetically sealed containers which have been heat treated after sealing to such an extent that the product is shelf-stable. Items related to definitions, requirements, packaging and labelling (items 3, 4, 5 and 7) are compulsory.&amp;nbsp;The remaining items are voluntary.</t>
  </si>
  <si>
    <t>Prepared meats: canned corned beef and mutton meat (ICS: 67.120.10)</t>
  </si>
  <si>
    <t xml:space="preserve"> ICS codes: 67.120.10</t>
  </si>
  <si>
    <t>Bahrain, Kingdom of</t>
  </si>
  <si>
    <t>G/SPS/N/ARE/95#G/SPS/N/BHR/165#G/SPS/N/KWT/13#G/SPS/N/OMN/64#G/SPS/N/QAT/68#G/SPS/N/SAU/243#G/SPS/N/YEM/9</t>
  </si>
  <si>
    <t>The Kingdom of Saudi Arabia/The Cooperation Council for the Arab States of the Gulf Draft Technical Regulation for: "Peanut Butter"</t>
  </si>
  <si>
    <t>This draft technical regulation applies to peanut butter requirements that suitable for human consumption.</t>
  </si>
  <si>
    <t>Fruits and derived products, including nuts (ICS Code: 67.080.10)</t>
  </si>
  <si>
    <t>Kuwait, the State of</t>
  </si>
  <si>
    <t>G/SPS/N/ARE/96#G/SPS/N/BHR/166#G/SPS/N/KWT/14#G/SPS/N/OMN/65#G/SPS/N/QAT/69#G/SPS/N/SAU/244#G/SPS/N/YEM/10</t>
  </si>
  <si>
    <t>The Kingdom of Saudi Arabia/The Cooperation Council for the Arab States of the Gulf Draft Technical Regulation for: "Fresh Okra"</t>
  </si>
  <si>
    <t>This draft technical regulation applies to fresh okra requirements, which is suitable for human consumption, and it does not include the okra intended for manufacturing.</t>
  </si>
  <si>
    <t>Fruits and vegetables (ICS Code: 67.080)</t>
  </si>
  <si>
    <t>G/TBT/N/ARE/353#G/TBT/N/BHR/467#G/TBT/N/KWT/349#G/TBT/N/OMN/289#G/TBT/N/QAT/463#G/TBT/N/SAU/969#G/TBT/N/YEM/69</t>
  </si>
  <si>
    <t xml:space="preserve">The Cooperation Council for the Arab States of the Gulf Draft Technical Regulation for " Canned fruits " (22 pages, in Arabic)_x000D_
</t>
  </si>
  <si>
    <t>This draft technical regulation is concerned with canned fruits for direct consumption, including for catering purposes or for repackaging if required, definitions, styles, requirements, sampling, test methods, packaging , transportation, storage and labelling. It does not apply to the product when indicated as being intended for further processing. This Standard does not cover canned applesauce, canned berry fruits, canned citrus fruits, and canned stone fruits which are covered by other Gulf standards.</t>
  </si>
  <si>
    <t>Canned fruits (ICS: 67.080)</t>
  </si>
  <si>
    <t>G/SPS/N/CAN/1063/Add.1</t>
  </si>
  <si>
    <t>Pesticide flonicamid in or on various commodities (ICS Codes: 65.020, 65.100, 67.040, 67.080)</t>
  </si>
  <si>
    <t>G/SPS/N/CAN/1064/Add.1</t>
  </si>
  <si>
    <t>Limites maximales de résidus fixées: Cléthodime</t>
  </si>
  <si>
    <t>Le document de la série limite maximale de résidus proposée (PMRL) concernant le cléthodime de la notification G/SPS/N/CAN/1064 (daté du 19 octobre 2016) est entré en vigueur le 11 janvier 2017. Les LMR proposées sont fixées à la date de leur saisie dans la base de données sur les limites maximales de résidus et elles sont indiquées ci-dessous.  
LMR (ppm)        Produit agricole brut (PAB) et/ou produit transformé
0,9                   Feuilles de basilic séchées
0,7                   Feuilles de basilic fraîches
ppm = partie par million
Les LMR fixées au Canada peuvent être obtenues au moyen de la base de données sur les LMR (http://pr-rp.hc-sc.gc.ca/mrl-lrm/index-fra.php) comme il est indiqué à la page Limites maximales de résidus pour pesticides (http://www.hc-sc.gc.ca/cps-spc/pest/part/protect-proteger/food-nourriture/mrl-lmr-fra.php) du site Web de Santé Canada. La base de données permet aux utilisateurs de faire une recherche par pesticide ou par denrée.</t>
  </si>
  <si>
    <t>Le pesticide cléthodime dans ou sur le basilic (Codes ICS: 65.020, 65.100, 67.040, 67.220)</t>
  </si>
  <si>
    <t>G/SPS/N/CAN/1065/Add.1</t>
  </si>
  <si>
    <t>Pesticide spinosad in or on various commodities (ICS Codes: 65.020, 65.100, 67.040, 67.080)</t>
  </si>
  <si>
    <t>G/SPS/N/THA/234/Add.1</t>
  </si>
  <si>
    <t>G/SPS/N/KOR/556</t>
  </si>
  <si>
    <t>The proposed amendment seeks to: Establish the standard for coliform and E. coli in the general standards and specification of foods  Establish and revise the maximum residue limits for 39 pesticides in agricultural products  Establish and revise the maximum residue limits for 18 veterinary drugs in foods  Establish the general testing methods for 36 veterinary drugs.</t>
  </si>
  <si>
    <t>G/SPS/N/CHL/535</t>
  </si>
  <si>
    <t>The Articles concerned have been amended to take into account technological developments; to give greater consistency to requirements in relation to the risk Chile is seeking to prevent; to bring criteria into line with regulations not applied for the importation of milk products into Chile; and to eliminate generic concepts and requirements not associated with suitability for human consumption.</t>
  </si>
  <si>
    <t>Various milk-related foods</t>
  </si>
  <si>
    <r>
      <t>Modificación de los Artículos 198, 203, 206, 207 y 235 del Reglamento Sanitario de los Alimentos, Decreto Supremo N° 977/96 del Ministerio de Salud</t>
    </r>
    <r>
      <rPr>
        <sz val="9"/>
        <color theme="1"/>
        <rFont val="Verdana"/>
        <family val="2"/>
      </rPr>
      <t xml:space="preserve"> (Amendment to Articles 198, 203, 206, 207 and 235 of the Food Health Regulations, Supreme Decree No. 977/96 of the Ministry of Health)</t>
    </r>
  </si>
  <si>
    <t>https://circabc.europa.eu/d/a/workspace/SpacesStore/98631676-45d7-4129-b083-daff486fffdc/CHL_535.DOC</t>
  </si>
  <si>
    <t>https://docs.wto.org/dol2fe/Pages/SS/DirectDoc.aspx?filename=v%3a%2fg%2fsps%2fnchl535.doc&amp;</t>
  </si>
  <si>
    <t>G/TBT/N/ARE/348#G/TBT/N/BHR/462#G/TBT/N/KWT/344#G/TBT/N/OMN/284#G/TBT/N/QAT/458#G/TBT/N/SAU/964#G/TBT/N/YEM/64</t>
  </si>
  <si>
    <t>The Cooperation Council for the Arab States of the Gulf Draft Technical Regulation for "General Requirements for Handling of Foods for Special Medical Purposes" (7 pages  in English  10 pages  in Arabic)</t>
  </si>
  <si>
    <t>This draft technical regulation applies to the general requirements for handling of foods for special purposes in patients over 12 months of age.</t>
  </si>
  <si>
    <t>G/SPS/N/COL/264</t>
  </si>
  <si>
    <t>Proyecto de decreto "Por el cual se establecen los procedimientos sanitarios para la importación y exportación de alimentos y materias primas para alimentos destinados al consumo humano, y para la habilitación y certificación de fábricas de alimentos ubicadas en el exterior" (Draft Decree "Establishing sanitary procedures for the import and export of food and food raw materials intended for human consumption, and for the authorization and certification of food factories located abroad")</t>
  </si>
  <si>
    <t>The notified draft Decree establishes sanitary procedures for the import and export of food and food raw materials intended for human consumption, and for the authorization and certification of food factories located abroad, with a view to protecting and preventing damage to human life. It covers the following: Purpose; Scope; Definitions; Obligations at entry and exit points for importers of food intended for human consumption; Obligations at entry and exit points for importers of raw materials for food intended for human consumption; Procedure for the issue of health inspection certificates; Products subject to laboratory analysis; Health inspection certification for exportation; Requirements for the authorization of factories situated abroad that produce foods of animal origin posing a high risk to public health; Procedure for the authorization of factories situated abroad that produce foods of animal origin posing a high risk to public health; Denial of authorization and prohibition of marketing; Period of validity and renewal of authorization; Transitional provisions; Trade agreements and/or treaties signed and ratified by Colombia; Certification of good manufacturing practices for factories located abroad that produce foods other than those of animal origin posing a high risk to public health; Procedure and notification of certification visits; Inspection, monitoring and control; Penalty procedure and sanitary measures; Liability; Simultaneous inspection; Notification; Transitional provisions; Period of validity and derogations.</t>
  </si>
  <si>
    <t>Food and food raw materials intended for human consumption - authorization and certification of food factories located abroad.</t>
  </si>
  <si>
    <t>G/TBT/N/SGP/32</t>
  </si>
  <si>
    <t>The Agri-Food and Veterinary Authority of Singapore (AVA) has completed a review of the Food Regulations and proposes the following trade facilitative TBT-related amendments:_x000B_To allow the use of the following new health claim relating to barley beta-glucan for food complying with the prescribed criteria for use: "Barley beta-glucans have been shown to lower/reduce blood cholesterol. High blood cholesterol is a risk factor in the development of coronary heart disease."_x000B_To allow the net quantity of prepacked rice to be declared in grams, or kilograms, as appropriate._x000B_To revise the specific gravity of sesame oil to 0.915 – 0.924 and the iodine value of sunflower seed oil to 118 – 141. (The above amendment is also notified via SPS notification)</t>
  </si>
  <si>
    <t>Protection of Human Health or Safety</t>
  </si>
  <si>
    <t>http://ec.europa.eu/growth/tools-databases/tbt/nview.cfm?p=SGP_32_EN</t>
  </si>
  <si>
    <t>G/TBT/N/USA/1259</t>
  </si>
  <si>
    <t>Addition of Mandatory Country of Origin Labeling Requirements for Venison (6 pages, in English)</t>
  </si>
  <si>
    <t>The Agricultural Marketing Service (AMS) proposes to amend the country of origin labeling (COOL) regulation to add muscle cuts of venison and ground venison to mandatory COOL requirements. AMS is issuing this proposed rule to conform to amendments to the Agricultural Marketing Act of 1946 (Act) as mandated by the Agricultural Act of 2014 (2014 Farm Bill), that added muscle cuts of venison and ground venison to the list of covered commodities subject to mandatory COOL.</t>
  </si>
  <si>
    <t>Venison</t>
  </si>
  <si>
    <t xml:space="preserve"> ICS codes: 67.120</t>
  </si>
  <si>
    <t>G/TBT/N/USA/1262</t>
  </si>
  <si>
    <t>National Organic Program (NOP); Sunset 2017 Amendments to the National List (8 pages, in English)</t>
  </si>
  <si>
    <t xml:space="preserve">This proposed rule would address recommendations submitted to the Secretary of Agriculture (Secretary) by the National Organic Standards Board (NOSB) following their October 2015 meeting. These recommendations pertain to the 2017 Sunset Review of substances on the U.S. Department of Agriculture's (USDA) National List of Allowed and Prohibited Substances (National List). Consistent with the recommendations from the NOSB, this proposed rule would remove eleven substances from the National List for use in organic production and handling. </t>
  </si>
  <si>
    <t>Organic food</t>
  </si>
  <si>
    <t>G/TBT/N/KOR/703</t>
  </si>
  <si>
    <t>Proposed Establishment of the "Labelling standard and method for relative comparison of Sodium content" (11 pages, in Korean)</t>
  </si>
  <si>
    <t>The main proposed establishment of "Labelling standard and method for relative comparison of Sodium content" is as follows:For labelling purpose:Establish the reference sodium values of classified food for relative comparisonEstablish the labelling items and labelling method (including labelling design)Establish the interval and procedure for the re-evaluation of reference sodium values</t>
  </si>
  <si>
    <t xml:space="preserve">Noodles [19021910] including sauces [2103], Naeng-myun [19021930] including sauces [2103], Instant noodles [19023010] including sauces [2103],ready-to-eat hamburger and ready-to-eat sandwich </t>
  </si>
  <si>
    <t xml:space="preserve">HS codes: 190230,2103,190219 </t>
  </si>
  <si>
    <t>España</t>
  </si>
  <si>
    <t>G/TBT/N/ESP/36</t>
  </si>
  <si>
    <t xml:space="preserve">Proyecto de Real Decreto por el que se establece la norma de calidad de las diferentes categorías de la sidra natural y de la sidra (11 páginas, en español)_x000D_
</t>
  </si>
  <si>
    <t>Se establece la norma de las diferentes categorías de la sidra natural y de la sidra elaboradas y comercializadas en España, sin perjuicio de lo establecido en la clausula de reconocimiento mutuo.Este proyecto responde a la necesidad de actualizar la normativa sobre calidad alimentaria del sector sidrero español. La norma incorpora productos novedosos, ya existentes en el mercado pero no definidos hasta ahora, y actualiza las definiciones de los productos existentes. Además, actualiza los métodos analíticos aplicables considerando los adelantos producidos por la innovación tecnológica.Los principales aspectos recogidos se refieren a la incorporación de nuevos productos conforme a la realidad del mercado, la actualización de los requisitos de composición, así como la actualización de los requisitos de la información alimentaria facilitada al consumidor (incluida la denominación legal) y los métodos analíticos aplicables a estos productos.</t>
  </si>
  <si>
    <t>Sidra 22.06.00</t>
  </si>
  <si>
    <t xml:space="preserve">HS codes: 2206 </t>
  </si>
  <si>
    <t>Información al consumidor, Etiquetado,Prescripciones en materia de calidad</t>
  </si>
  <si>
    <t>G/SPS/N/EU/182</t>
  </si>
  <si>
    <t>Commission Implementing Regulation (EU) 2017/55 of 14 December 2016 concerning the authorisation of octan-2-ol, isopropanol, pentan-2-ol, octan-3-ol, heptan-2-one, pentan-2-one, 6-methyl-hepta-3,5-dien-2-one, nonan-3-one, decan-2-one and isopropyl tetradecanoate as feed additives for all animal species  (Text with EEA relevance)</t>
  </si>
  <si>
    <t>This regulatory measure authorises the commercialisation of ten substances as feed additives in the category of "sensory additives" subsequent to the re-evaluation by the European Food Safety Agency (EFSA) ex Article 10(2) of Regulation (EC)1831/2003. Transitional measures for exhaustion of stocks are established, no Maximum Residues Level recommended.</t>
  </si>
  <si>
    <t>Preparation of a kind use in animal nutrition</t>
  </si>
  <si>
    <t xml:space="preserve">HS codes: 2309 </t>
  </si>
  <si>
    <t>Animal feed,Feed additives,Food safety,Human health</t>
  </si>
  <si>
    <t>G/SPS/N/EU/181</t>
  </si>
  <si>
    <t>Commission Implementing Regulation (EU) 2017/54 of 14 December 2016 concerning the authorisation of 2-methylpropan-1-ol, isopentanol, 3,7-dimethyloctan-1-ol, 2-ethylhexan-1-ol, 2-methylpropanal, 3-methylbutanal, 2-methylbutyraldehyde, 3-methylbutyric acid, 2-methylvaleric acid, 2-ethylbutyric acid, 2-methylbutyric acid, 2-methylheptanoic acid, 4-methylnonanoic acid, 4-methyloctanoic acid, isobutyl acetate, isobutyl butyrate, 3-methylbutyl hexanoate, 3-methylbutyl dodecanoate, 3-methylbutyl octanoate, 3-methylbutyl propionate, 3-methylbutyl formate, glyceryl tributyrate, isobutyl isobutyrate, isopentyl isobutyrate, isobutyl isovalerate, isopentyl 2-methylbutyrate, 2-methylbutyl isovalerate and 2-methylbutyl butyrate as feed additives for all animal species (Text with EEA relevance)</t>
  </si>
  <si>
    <t>The legislative measure authorises the commercialisation of 28 substances as feed additives in the category of "sensory additives" subsequent to the re-evaluation by EFSA ex Article 10(2) of Regulation (EC)1831/2003. Maximum recommended contents and transitional measures for exhaustion of stocks are established.</t>
  </si>
  <si>
    <t>G/SPS/N/EU/180</t>
  </si>
  <si>
    <t>Commission Implementing Regulation (EU) 2017/53 of 14 December 2016 concerning the authorisation of butan-1-ol, hexan-1-ol, octan-1-ol, nonan-1-ol, dodecan-1-ol, heptan-1-ol, decan-1-ol, pentan-1-ol, ethanol, acetaldehyde, propanal, butanal, pentanal, hexanal, octanal, decanal, dodecanal, nonanal, heptanal, undecanal, 1,1-diethoxyethane, formic acid, acetic acid, propionic acid, valeric acid, hexanoic acid, octanoic acid, decanoic acid, dodecanoic acid, oleic acid, hexadecanoic acid, tetradecanoic acid, heptanoic acid, nonanoic acid, ethyl acetate, propyl acetate, butyl acetate, hexyl acetate, octyl acetate, nonyl acetate, decyl acetate, dodecyl acetate, heptyl acetate, methyl acetate, methyl butyrate, butyl butyrate, pentyl butyrate, hexyl butyrate, octyl butyrate, ethyl decanoate, ethyl hexanoate, propyl hexanoate, pentyl hexanoate, hexyl hexanoate, methyl hexanoate, ethyl formate, ethyl dodecanoate, ethyl tetradecanoate, ethyl nonanoate, ethyl octanoate, ethyl propionate, methyl propionate, ethyl valerate, butyl valerate, ethyl hex-3-enoate, ethyl hexadecanoate, ethyl trans-2-butenoate, ethyl undecanoate, butyl isovalerate, hexyl isobutyrate, methyl 2-methylbutyrate, hexyl 2-methylbutyrate, triethyl citrate, hexyl isovalerate and methyl 2-methylvalerate as feed additives for all animal species</t>
  </si>
  <si>
    <t>This regulatory measure authorises the commercialisation of 75 substances as feed additives in the category of "sensory additives" subsequent to re-evaluation by EFSA ex Article 10(2) of Regulation (EC)1831/2003. Maximum recommended contents and transitional measures for exhaustion of stocks are established.</t>
  </si>
  <si>
    <t>G/SPS/N/IND/164</t>
  </si>
  <si>
    <t>Draft Food Safety and Standards (Food Products Standards and Food Additives) Amendment Regulations  2017</t>
  </si>
  <si>
    <t>The Draft Food Safety and Standards (Food Products Standards and Food Additives) Amendment Regulations  2017 details the revision of standards for Cane Jaggery or Cane Gur and Sodium Saccharin (food grade) and standards for Calcium Saccharin (food grade).</t>
  </si>
  <si>
    <t>Revision of standards for Cane Jaggery or Cane Gur and Sodium Saccharin (food grade) and standards for Calcium Saccharin (food grade)</t>
  </si>
  <si>
    <t>G/SPS/N/SLV/125/Add.1</t>
  </si>
  <si>
    <r>
      <t>Reglamento Técnico Salvadoreño RTS 13.02.01:14, Agua. Agua de Consumo Humano. Requisitos de Calidad e Inocuidad</t>
    </r>
    <r>
      <rPr>
        <sz val="9"/>
        <color theme="1"/>
        <rFont val="Verdana"/>
        <family val="2"/>
      </rPr>
      <t xml:space="preserve"> (Salvadorian Technical Regulation (RTS) No. 13.02.01:14: Water. Water for human consumption. Quality and safety requirements) </t>
    </r>
  </si>
  <si>
    <t>The notified text establishes the permissible limits of the microbiological, physical, chemical and radiological parameters for water for human consumption.</t>
  </si>
  <si>
    <t>G/TBT/N/USA/1264</t>
  </si>
  <si>
    <t>Revision of the Nutrition Facts Labels for Meat and Poultry Products and Updating Certain Reference Amounts Customarily Consumed (92 pages, in English)</t>
  </si>
  <si>
    <t>Consistent with the recent changes that the Food and Drug Administration (FDA) finalized, the Food Safety and Inspection Service (FSIS) is proposing to amend the nutrition labeling requirements for meat (including fish of the order Siluriformes) and poultry products to better reflect the most recent scientific research and dietary recommendations and to improve the presentation of nutrition information to assist consumers in maintaining healthy dietary practices. FSIS is proposing to update the list of nutrients that are required or permitted to be declared; provide updated Daily Reference Values (DRVs) and Reference Daily Intake (RDI) values that are based on current dietary recommendations from consensus reports; and amend the labeling requirements for foods represented or purported to be specifically for children under the age of 4 years and pregnant women and lactating women and establish nutrient reference values specifically for these population subgroups. FSIS is also proposing to revise the format and appearance of the Nutrition Facts label; amend the definition of a single-serving container; require dual-column labeling for certain containers; and update and modify several reference amounts customarily consumed (RACCs or reference amounts). Finally, FSIS is proposing to consolidate the nutrition labeling regulations for meat and poultry products into a new Code of Federal Regulations (CFR) part.</t>
  </si>
  <si>
    <t>Meat and poultry products</t>
  </si>
  <si>
    <t>G/TBT/N/USA/1265</t>
  </si>
  <si>
    <t>Implementation of Statutory Amendments Requiring the Modification of the Definition of Hard Cider (3 pages, in English)</t>
  </si>
  <si>
    <t>The Alcohol and Tobacco Tax and Trade Bureau (TTB) implements changes made to the definition of "hard cider" in the Internal Revenue Code of 1986 by the Protecting Americans from Tax Hikes Act of 2015. The modified definition broadens the range of wines eligible for the hard cider tax rate. TTB is amending its regulations to reflect the modified definition of hard cider effective for products removed on or after 1 January 2017, and to set forth new labeling requirements to identify products to which the hard cider tax rate applies. The new labeling requirements include both a one-year transitional rule and a new labeling requirement that takes effect for products removed on or after 1 January 2018. The text of the regulations in that temporary rule published elsewhere in this issue of the Federal Register serves as the text of the proposed regulations.</t>
  </si>
  <si>
    <t>Hard cider</t>
  </si>
  <si>
    <t>HS codes: 2206 ICS codes: 67.160</t>
  </si>
  <si>
    <t>G/SPS/N/EU/184</t>
  </si>
  <si>
    <t>Commission Implementing Regulation (EU) 2017/57 of 14 December 2016 concerning the authorisation of 1,8-cineole, 3,4-dihydrocoumarin and 2-(2-methylprop-1-enyl)-4- methyltetrahydropyran as feed additives for all animal species (Text with EEA relevance)</t>
  </si>
  <si>
    <t>This regulatory measure authorises the commercialisation of three substances as feed additives in the category of "sensory additives" subsequent to the re-evaluation by the European Food Safety Agency (EFSA) ex Article 10(2) of Regulation (EC)1831/2003. Transitional measures for exhaustion of stocks are established, no Maximum Residues Level recommended.</t>
  </si>
  <si>
    <t>http://members.wto.org/crnattachments/2017/SPS/EEC/17_0545_00_e.pdf
http://members.wto.org/crnattachments/2017/SPS/EEC/17_0545_00_f.pdf
http://members.wto.org/crnattachments/2017/SPS/EEC/17_0545_00_s.pdf</t>
  </si>
  <si>
    <t>G/SPS/N/EU/183</t>
  </si>
  <si>
    <t>Commission Implementing Regulation (EU) 2017/56 of 14 December 2016 concerning the authorisation of lactic acid, 4-oxovaleric acid, succinic acid, fumaric acid, ethyl acetoacetate, ethyl lactate, butyl lactate, ethyl 4-oxovalerate, diethyl succinate, diethyl malonate, butyl-O-butyryllactate, hex-3-enyl lactate, hexyl lactate, butyro-1,4-lactone, decano-1,5-lactone, undecano-1,5-lactone, pentano-1,4-lactone, nonano-1,5-lactone, octano-1,5-lactone, heptano-1,4- lactone and hexano-1,4-lactone as feed additives for all animal species (Text with EEA relevance)</t>
  </si>
  <si>
    <t>This regulatory measure authorises the commercialisation of 21 substances as feed additives in the category of "sensory additives" subsequent to the re-evaluation by the European Food Safety Agency (EFSA) ex Article 10(2) of Regulation (EC)1831/2003. Transitional measures for exhaustion of stocks are established, no Maximum Residues Level recommended.</t>
  </si>
  <si>
    <t>G/SPS/N/JPN/499</t>
  </si>
  <si>
    <t>Proposed maximum residue limits (MRLs) for the following agricultural chemical:
Pesticide: Chlorpropham.</t>
  </si>
  <si>
    <t>- Meat and edible meat offal (HS Codes: 02.01, 02.02 and 02.06)
- Dairy produce (HS Code: 04.01)
- Products of animal origin (HS Code: 05.04)
- Edible vegetables and certain roots and tubers (HS Codes: 07.01, 07.02, 07.03, 07.04, 07.05, 07.06, 07.07, 07.0</t>
  </si>
  <si>
    <t xml:space="preserve">HS codes: 0202,0904,0708,0710,0702,0806,0201,0808,0706,0705,0910,0703,1003,0811,0810,0802,1002,0903,0206,0709,0906,1005,1001,0803,0801,0807,0707,0704,0905,0714,0805,0909,0908,0907,0809,0713,0701,0804,0504,0401,1212,0814,1502,1201 </t>
  </si>
  <si>
    <t>G/SPS/N/THA/183/Rev.1</t>
  </si>
  <si>
    <t>Draft MOPH Notification, B.E. ..., entitled "Food Containing Pesticide Residues"</t>
  </si>
  <si>
    <t>For consumer protection, The Ministry of Public Health (MOPH) is proposing to revise the MOPH Notification concerning the maximum residue level of pesticides in Food through a risk-based framework; focused on either short term (acute) or long term (chronic) exposures using Thai Food consumption data and field trial data. Main elements of the draft notification as follows:
(1) The MOPH notification BE 2554 (2011) on Food Containing Pesticide Residues, dated 14 April 2011 and The MOPH notification (No.361) B.E.2556 (2013) on Food Containing Pesticide Residues No 2, dated 6 August 2013, is repealed and replaced by this (Draft) MOPH Notification;
(2) The Pesticide residues in food shall comply with the MRLs/EMRLs set forth in the attachment 2 and 4 to this MOPH Notification. 
      In cases other than those specified in the attachment 2 the pesticide residues in food shall not exceed the limits as recommended by the Codex Alimentarius Commission, Joint FAO/WHO Food Standard Programme;
(3)  Default limit set forth in the attachment 3 to this MOPH Notification. In cases other than those specified in the attachment 3, shall not exceed defaults limit 0.01 mg/kg;
(4)  The method of analysis shall be prescribed in the attachment 5.</t>
  </si>
  <si>
    <t>G/SPS/N/JPN/500</t>
  </si>
  <si>
    <t>Proposed maximum residue limits (MRLs) for the following agricultural chemicals:
Pesticides: Dazomet, Metam and Methyl isothiocyanate.
Dazomet, Metam and Metyl isothiocyanate are used as pesticide respectively. Dazomet and Metyl isothiocyanate can be readily metabolized to Metyl isothiocyanate in plants. Therefore, Japan is considering the MRL as a group of these substances.</t>
  </si>
  <si>
    <t xml:space="preserve">- Edible vegetables and certain roots and tubers (HS Codes: 07.01, 07.02, 07.03, 07.04, 07.05, 07.06, 07.07, 07.08, 07.09, 07.10 and 07.14)
- Edible fruits and nuts, peel of citrus/melons (HS Codes: 08.01, 08.02, 08.03, 08.04, 08.05, 08.06, 08.07, 08.08, </t>
  </si>
  <si>
    <t xml:space="preserve">HS codes: 0903,0803,1001,0709,0805,0705,0714,0804,0904,1207,0811,0809,0907,0909,0908,1205,1204,1206,0807,0808,0906,0704,0703,1212,0905,0814,0701,0801,0806,0702,0810,1003,0706,0707,0708,0910,0902,0710,0802 </t>
  </si>
  <si>
    <t>G/SPS/N/TPKM/422</t>
  </si>
  <si>
    <t>The amendment of the "Standards for Types and Tolerance Levels of Pathogenic Microorganisms and Health-hazard Materials in Pet Food"</t>
  </si>
  <si>
    <t>The summary of the amended "Standards for Types and Tolerance Levels of Pathogenic Microorganisms and Health-hazard Materials in Pet Food" is as follows:
1. To consider the particularity of Arsenic in aquatic animals, seaweed, and products derived thereof and/or meal;
2. To amend the limited standard of Arsenic in pet food according to the researches and some countries' rules.</t>
  </si>
  <si>
    <t>Animal feed,Animal health,Contaminants,Heavy metals</t>
  </si>
  <si>
    <t>G/SPS/N/BRA/1213</t>
  </si>
  <si>
    <t>Regulation Nº 136 issued on 15 December 2016 (Portaria Nº 136, de 15 de dezembro de 2016)</t>
  </si>
  <si>
    <t>Submit to public consultation draft that approves Technical Regulation regarding identity and quality standards applied for frozen fish.</t>
  </si>
  <si>
    <t>HS Code: 03; ICS Codes: 13, 67</t>
  </si>
  <si>
    <t xml:space="preserve">HS codes: 0303,03,0304 </t>
  </si>
  <si>
    <t>https://docs.wto.org/imrd/directdoc.asp?DDFDocuments/v/G/TBTN16/CHL378.DOC</t>
  </si>
  <si>
    <t xml:space="preserve">G/TBT/N/CHL/378 - Draft Text Addendum 1 </t>
  </si>
  <si>
    <t>http://ec.europa.eu/growth/tools-databases/tbt/nview.cfm?p=CHL_378_EN</t>
  </si>
  <si>
    <t>G/TBT/N/KOR/694 - Draft Text Addendum 1</t>
  </si>
  <si>
    <t>http://ec.europa.eu/growth/tools-databases/tbt/nview.cfm?p=KOR_694_EN</t>
  </si>
  <si>
    <t>http://ec.europa.eu/growth/tools-databases/tbt/nview.cfm?p=CHL_379_EN</t>
  </si>
  <si>
    <t>G/TBT/N/CHL/379 - Draft Text - Addendum 1</t>
  </si>
  <si>
    <t>G/TBT/N/ARG/315</t>
  </si>
  <si>
    <t>Determination of non-permitted colouring matter in wine (11 pages, in Spanish)</t>
  </si>
  <si>
    <t>The notified Resolution formalizes the method for the determination, by high-performance liquid chromatography (HPLC) and ultraviolet–visible (UV/Vis) detection, of non-permitted colouring matter in wine.  _x000B_Products in which the presence of non-permitted colourants is detected will be considered to be "Not genuine - Adulterated".</t>
  </si>
  <si>
    <t>67.160.10 - Alcoholic beverages</t>
  </si>
  <si>
    <t>https://docs.wto.org/imrd/directdoc.asp?DDFDocuments/t/G/TBTN17/ARG315.DOC</t>
  </si>
  <si>
    <t>Tanzania</t>
  </si>
  <si>
    <t>G/TBT/N/TZA/63</t>
  </si>
  <si>
    <t>AFDC 13(3903) P3 Malt drink  specification (7 pages, in English)</t>
  </si>
  <si>
    <t>This standard specifies requirements, methods of sampling and tests for malt drinks</t>
  </si>
  <si>
    <t>Malt drink (ICS: 67.160.20)</t>
  </si>
  <si>
    <t xml:space="preserve"> ICS codes: 67.160.20</t>
  </si>
  <si>
    <t>G/SPS/N/EU/187</t>
  </si>
  <si>
    <t>Commission Implementing Regulation (EU) 2017/60 of 14 December 2016 concerning the authorisation of isoeugenol as a feed additive for pigs, ruminants and horses except those producing milk for human consumption and pets (Text with EEA relevance)</t>
  </si>
  <si>
    <t>This regulatory measure authorises the commercialisation of one substance as feed additives in the category of "sensory additives" following the re-evaluation carried out by the European Food Safety Agency (EFSA) according to Article 10(2) of Regulation (EC)1831/2003. Transitional measures for exhaustion of stocks are established, no Maximum Residues Level is recommended.</t>
  </si>
  <si>
    <t>G/SPS/N/EU/186</t>
  </si>
  <si>
    <t>Commission Implementing Regulation (EU) 2017/59 of 14 December 2016 concerning the authorisation of 1,1-dimethoxy-2-phenylethane, phenethyl formate, phenethyl octanoate, phenethyl isobutyrate, phenethyl 2-methyl-butyrate and phenethyl benzoate as feed additives for all animal species (Text with EEA relevance)</t>
  </si>
  <si>
    <t>This regulatory measure authorises the commercialisation of six substances as feed additives in the category of "sensory additives" following the re-evaluation carried out by the European Food Safety Agency (EFSA) in accordance with Article 10(2) of Regulation (EC)1831/2003. Transitional measures for exhaustion of stocks are established, no Maximum Residues Level recommended.</t>
  </si>
  <si>
    <t>G/SPS/N/EU/185</t>
  </si>
  <si>
    <t>Commission Implementing Regulation (EU) 2017/58 of 14 December 2016 concerning the authorisation of alpha-terpineol, nerolidol, 2-(4-methylphenyl) propan-2-ol, terpineol and linalyl acetate as feed additives for all animal species (Text with EEA relevance)</t>
  </si>
  <si>
    <t>Preparation of a kind use in animal nutrition (HS Code: 2309)</t>
  </si>
  <si>
    <t>G/SPS/N/EU/188</t>
  </si>
  <si>
    <t>Commission Implementing Regulation (EU) 2017/61 of 14 December 2016 concerning the authorisation of 4-allyl-2,6-dimethoxyphenol and eugenyl acetate as feed additives for all animal species except for fish and poultry (Text with EEA relevance)</t>
  </si>
  <si>
    <t>This regulatory measure authorises the commercialisation of two substances as feed additives in the category of "sensory additives" following the re-evaluation carried out by the European Food Safety Agency (EFSA) according to Article 10(2) of Regulation (EC)1831/2003. Transitional measures for exhaustion of stocks are established, no Maximum Residues Level recommended.</t>
  </si>
  <si>
    <t>G/SPS/N/EU/189</t>
  </si>
  <si>
    <t>Commission Implementing Regulation (EU) 2017/62 of 14 December 2016 concerning the authorisation of 3-(methylthio) propionaldehyde, methyl 3-(methylthio) propionate, allylthiol, dimethyl sulfide, dibutyl sulfide, diallyl disulfide, diallyl trisulfide, dimethyl trisulfide, dipropyl disulfide, allyl isothiocyanate, dimethyl disulfide, 2-methylbenzene-1-thiol, S-methyl butanethioate, allyl methyl disulfide, 3-(methylthio) propan-1-ol, 3-(methylthio) hexan-1- ol, 1-propane-1-thiol, diallyl sulfide, 2,4-dithiapentane, 2-methyl-2-(methyldithio) propanal, 2-methylpropane-1-thiol, methylsulfinyl methane, propane-2-thiol, 3,5-dimethyl-1,2,4-trithiolane and 2-methyl-4-propyl-1,3-oxathiane as feed additives for all animal species (Text with EEA relevance)</t>
  </si>
  <si>
    <t>This regulatory measure authorises the commercialisation of 25 substances as feed additives in the category of "sensory additives" subsequent to the re-evaluation by the European Food Safety Agency (EFSA) ex Article 10(2) of Regulation (EC)1831/2003. Transitional measures for exhaustion of stocks are established, Maximum Residues Level are recommended only for allyl isothiocyanate and 2-methylpropane-1-thiol.</t>
  </si>
  <si>
    <t>G/SPS/N/JPN/500/Corr.1</t>
  </si>
  <si>
    <t>Edible vegetables and certain roots and tubers (HS Codes: 07.01, 07.02, 07.03, 07.04, 07.05, 07.06, 07.07, 07.08, 07.09, 07.10 and 07.14)
Edible fruits and nuts, peel of citrus/melons (HS Codes: 08.01, 08.02, 08.03, 08.04, 08.05, 08.06, 08.07, 08.08, 08.09, 08.10, 08.11 and 08.14)
Coffee, tea, mate and spices (HS Codes: 09.02, 09.03, 09.04, 09.05, 09.06, 09.07, 09.08, 09.09 and 09.10)
Cereals (HS Codes: 10.01 and 10.03)
Oleaginous fruits, miscellaneous grains, seeds and fruits (HS Codes: 12.04, 12.05, 12.06, 12.07 and 12.12)</t>
  </si>
  <si>
    <t xml:space="preserve">HS codes: 0702,0804,1206,0806,0904,0707,0807,0808,0708,0902,0805,1207,1001,0910,0814,0905,1212,0802,0703,0704,0701,0801,0803,0903,1003,0714,0705,0706,0709,1204,0710,0809,0909,0810,0907,0908,1205,0906,0811 </t>
  </si>
  <si>
    <t>G/SPS/N/EU/190</t>
  </si>
  <si>
    <t>Draft Commission Implementing Regulation suspending the authorisation of ethoxyquin as a feed additive for all animal species and categories (Text with EEA relevance)</t>
  </si>
  <si>
    <t>The draft measure suspends the existing authorisation of ethoxyquin used as antioxidant feed additive for all animal species, since the conditions for authorisation laid down by the relevant EU legislation are no longer met. According to the opinion of the European Food Safety Authority (EFSA) of 21 October 2015, there is an overall lack of data submitted to assess the exposure and the safety of ethoxyquin for animals, consumers and the environment. In addition, several potential safety concerns are raised: at least one of the additive's metabolites, ethoxyquin quinone imine, could be genotoxic. Also, the impurity p-phenetidine, which remains in the additive, is a possible mutagen. 
The draft suspension act is accompanied by transitional measures in order to allow operators to adapt to the withdrawal obligation.
The suspension measure will be reviewed by 31 December 2020 at the latest.</t>
  </si>
  <si>
    <t>Ethoxyquin (6-ethoxy-1,2-dihydro-2,2,4-trimethylquinoline) as a feed additive and all types of animal feed containing ethoxyquin</t>
  </si>
  <si>
    <t>Animal feed,Animal health,Feed additives,Food safety,Human health</t>
  </si>
  <si>
    <t>G/SPS/N/EU/191</t>
  </si>
  <si>
    <t>Commission Implementing Regulation (EU) 2017/63 of 14 December 2016 concerning the authorisation of benzyl alcohol, 4-isopropylbenzyl alcohol, benzaldehyde, 4-isopropylbenzaldehyde, salicylaldehyde, p-tolualdehyde, 2-methoxybenzaldehyde, benzoic acid, benzyl acetate, benzyl butyrate, benzyl formate, benzyl propionate, benzyl hexanoate, benzyl isobutyrate, benzyl isovalerate, hexyl salicylate, benzyl phenylacetate, methyl benzoate, ethyl benzoate, isopentyl benzoate, pentyl salicylate and isobutyl benzoate as feed additives for all animal a species and of veratraldehyde and gallic acid as feed additives for certain animal species (Text with EEA relevance)</t>
  </si>
  <si>
    <t>This regulatory measure authorises the commercialisation of 22 substances as feed additives in the category of "sensory additives" subsequent to the re-evaluation by the European Food Safety Agency (EFSA) ex Article 10(2) of Regulation (EC)1831/2003. Transitional measures for exhaustion of stocks are established. Maximum Residues Level are recommended only for benzoic acid.</t>
  </si>
  <si>
    <t>G/SPS/N/EU/192</t>
  </si>
  <si>
    <t xml:space="preserve">Commission Implementing Regulation (EU) 2017/151 of 27 January 2017 amending Annex I to Regulation (EC) No 798/2008, as regards the entries in the list of third countries, territories, zones or compartments from which poultry and poultry products may be imported into and transit through the Union and the veterinary certification requirements (Text with EEA relevance) </t>
  </si>
  <si>
    <t>This regulation provides:
- the regionalisation of Israel with respect to Newcastle disease and restricting imports to poultry meat only;
- the authorisation of the former Yugoslav Republic of Macedonia for the imports of poultry meat into the European Union;
- the amendment of the model veterinary certificate for meat of poultry to allow imports into the Union of poultry meat produced from slaughter poultry previously imported from a member State. Prior to this amendment third countries were only allowed to import into the Union poultry meat from poultry that have been kept in that third country since hatching or imported from another third country under conditions at least equivalent to the conditions for imports into the Union;
- the amendment of the Harmonised System (HS) Customs code for egg products to be indicated on the import certificate.</t>
  </si>
  <si>
    <t>Poultry meat, eggs products</t>
  </si>
  <si>
    <t xml:space="preserve">HS codes: 0407,0207 </t>
  </si>
  <si>
    <t>Food safety,Human health,Newcastle Disease</t>
  </si>
  <si>
    <t>G/SPS/N/EU/194</t>
  </si>
  <si>
    <t>Commission Implementing Regulation (EU) 2017/65 of 14 December 2016 concerning the authorisation of 1-isopropyl-4-methylbenzene, pin-2(10)-ene, pin-2(3)-ene, beta- caryophyllene, camphene, 1-isopropenyl-4-methylbenzene, delta-3-carene and d-limonene as feed additives for all animal species (Text with EEA relevance)</t>
  </si>
  <si>
    <t>The regulatory measure authorises the commercialisation of eight substances as feed additives in the category of "sensory additives" following the re-evaluation carried out by the European Food Safety Agency (EFSA) in accordance with Article 10(2) of Regulation (EC)1831/2003. Appropriate protective measures are recommended as they have been considered as irritant to skin, eyes and respiratory tract.</t>
  </si>
  <si>
    <t>G/SPS/N/EU/193</t>
  </si>
  <si>
    <t>Commission Implementing Regulation (EU) 2017/64 of 14 December 2016 concerning the authorisation of glycyrrhizic acid ammoniated as a feed additive for all animal species (Text with EEA relevance)</t>
  </si>
  <si>
    <t>The regulatory measure authorises the commercialisation of the above mentioned substance as feed additive in the category of "sensory additives" subsequent to the re-evaluation by the European Food Safety Agency (EFSA) ex Article 10(2) of Regulation (EC)1831/2003. Transitional measures for exhaustion of stocks are established.  Maximum Residues Level are recommended.</t>
  </si>
  <si>
    <t>G/SPS/N/BRA/1214</t>
  </si>
  <si>
    <t>Regulation issued on 11 January 2016 (Instrução Normativa Nº 1  de 11 de janeiro de 2017)</t>
  </si>
  <si>
    <t>The notified regulation approves procedures for registration  renewal  modification  audit and cancellation of registration regarding animal products produced by establishments registered on the Federal Inspection Service (Serviço de Inspeção Federal  SIF)  and foreign establishments authorized to export to Brazil.</t>
  </si>
  <si>
    <t>HS Codes: 02  03  04  05  ICS Codes: 13  65  67</t>
  </si>
  <si>
    <t xml:space="preserve"> HS codes: 03  05  04  02 </t>
  </si>
  <si>
    <t>G/SPS/N/KOR/557</t>
  </si>
  <si>
    <t>Proposed Amendments to Border Inspection Regulation for Foods</t>
  </si>
  <si>
    <t>The proposed amendment seeks to: 1. Establishment of import declaration exemption for imported food  etc. used as samples or taste testings at Exhibition  2. Specification of pesticide test items for random sampling test  3. Establishment of laboratory test exemption for re-imported parts of apparatus  containers and packages  4. 232 kinds of single component pesticides for inspection are adjusted to 208  and the names of pesticides are modified to match with food code  5. Adjustment of the scope of foods that a Minister of Food and Drug Safety recognizes as safe among foods  etc. that have no inadequate history after inspection  6. Addition of field test item and judgment criteria for garlic.</t>
  </si>
  <si>
    <t>G/SPS/N/TPKM/423</t>
  </si>
  <si>
    <t>Amendments of specification of Sorbic Acid, Potassium Sorbate, Propionic Acid, Calcium Propionate, Sodium Propionate, Benzoic Acid, Sodium Benzoate, Sodium Erythorbate, D-Sorbitol, Glycine, and Gellan Gum</t>
  </si>
  <si>
    <t>Amendments of specification of Sorbic Acid, Potassium Sorbate, Propionic Acid, Calcium Propionate, Sodium Propionate, Benzoic Acid, Sodium Benzoate, Sodium Erythorbate, D-Sorbitol, Glycine, and Gellan Gum.</t>
  </si>
  <si>
    <t>G/SPS/N/TPKM/424</t>
  </si>
  <si>
    <t>Import inspection requirement for commodities classified under 4 specific CCC codes if they are used for food or food additives</t>
  </si>
  <si>
    <t>Commodities classified under 4 specific CCC codes shall follow the "Regulations of Inspection of Imported Foods and Related Products" if they are used for food or food additives. The importers shall apply for inspection to the Food and Drug Administration, Ministry of Health and Welfare.</t>
  </si>
  <si>
    <t>Those food or food additives purposes classified under 4 specific CCC codes</t>
  </si>
  <si>
    <t xml:space="preserve">HS codes: 28,32,29,291590,290950,320649 </t>
  </si>
  <si>
    <t>G/SPS/N/IND/166</t>
  </si>
  <si>
    <t>Draft Food Safety and Standards (Food Products Standards and Food Additives) Amendment Regulations, 2017</t>
  </si>
  <si>
    <t>The Draft Food Safety and Standards (Food Products Standards and Food Additives) Amendment Regulations, 2017 details the standards of Complementary Foods for Older Infants and Young Children.</t>
  </si>
  <si>
    <t>Standards of complementary foods for older infants and young children</t>
  </si>
  <si>
    <t>EU / third country comments received</t>
  </si>
  <si>
    <t>http://ec.europa.eu/growth/tools-databases/tbt/en/search/?tbtaction=search.detail&amp;Country_id=UGA&amp;num=444&amp;dspLang=EN&amp;basdatedeb=&amp;basdatefin=&amp;baspays=HUN&amp;basnotifnum=30&amp;basnotifnum2=&amp;bastypepays=&amp;baskeywords=&amp;CFID=5245826&amp;CFTOKEN=6a4053b4bb01416a-6231BC0A-02E8-1EA9-EFCEEC612D4F88EE</t>
  </si>
  <si>
    <t>Regulation of the Chairman of NADFC RI No.22 of 2016 on The Requirement for The Use of Flavorings  (63 pages, in Indonesian)</t>
  </si>
  <si>
    <t>This regulation specified the requirements for the use of flavorings as food additives in processed food, i.e.:_x000B_Flavorings are classified as natural flavoring, identical natural flavoring and artificial flavoring. This classification is based on the source and the process of flavoring production. For the labelling purposes, the identical natural flavoring must be stated in the label as artificial flavoring;_x000B_The material of allowed flavoring substances are listed in Annex I. For any other flavorings used that are not listed in Annex I, it should obtain approval from The Chairman of NAFDC;_x000B_The list of maximum bioactive substances in flavoring are listed in Annex II;_x000B_The substance of allowed flavoring adjunctions are listed in Annex III;_x000B_The list of maximum residues for extraction solvent flavoring in food products are stated in Annex IV;_x000B_The list of allowed flavorings to be used in growth formula are stated in Annex V;_x000B_The list of allowed flavoring to be used in complementary foods for infants and young children are stated in Annex VI;_x000B_The flavoring and related processed food containing flavoring which has obtained marketing approval from The Chairman of NAFDC must be adjusted no later than 12 months from the date stipulated;_x000B_The flavoring and related processed food containing flavoring which has been submitted before the prevailing of this regulation will be processed based on Indonesia National Standard (SNI) regarding Flavorings.</t>
  </si>
  <si>
    <t>67.220.20 - Food additives</t>
  </si>
  <si>
    <t>Quality Requirements</t>
  </si>
  <si>
    <t>G/TBT/N/IDN/112</t>
  </si>
  <si>
    <t>http://ec.europa.eu/growth/tools-databases/tbt/nview.cfm?p=IDN_112_EN</t>
  </si>
  <si>
    <t>G/SPS/N/IND/165</t>
  </si>
  <si>
    <t>Draft Food Safety and Standards [Food Products Standards and Food Additives] Amendment Regulations  2017 relating to Standards for Date Paste  Fermented Soybean Paste  Cocoa mass or Cocoa/Chocolate Liquor and Cocoa Cake  Vegetable Protein Products  Thermally Processed Fruit Salad/Cocktail/Mix  Harrisa (Red Hot Pepper Paste) and Cocoa Powder.</t>
  </si>
  <si>
    <t>Standards for date paste  fermented soybean paste  cocoa mass or cocoa/chocolate liquor and cocoa cake  vegetable protein products  thermally processed fruit salad/cocktail/mix  harrisa (red hot pepper paste) and cocoa powder</t>
  </si>
  <si>
    <t>G/SPS/N/IND/170</t>
  </si>
  <si>
    <t>The Draft Food Safety and Standards (Food Products Standards and Food Additives) Amendment Regulations  2017 details standards of Milk Protein Concentrate (MPC) and Whey Protein Concentrate (WPC).</t>
  </si>
  <si>
    <t>Standards of Milk Protein Concentrate (MPC) and Whey Protein Concentrate (WPC)</t>
  </si>
  <si>
    <t>UPDATED on 21/02/2017</t>
  </si>
  <si>
    <t>G/SPS/N/JPN/471/Add.2</t>
  </si>
  <si>
    <t>Milk products categorized in the following HS codes:
- Milk and cream (HS Codes: 04.01 and 04.02)
- Buttermilk, curdled milk and cream, yogurt, kephir and other fermented or acidified milk and cream (HS Code: 04.03)
- Whey (HS Code: 04.04)
- Butter and other fats and oils derived from milk, and dairy spreads (HS Code: 04.05)
- Cheese and curd (HS Code: 04.06)
Milk products categorized in the following HS codes which contain ingredients derived from milk:
- Lactose and lactose syrup (HS Codes: 1702.11 and 1702.19)
- Dog or cat food and animal feed (HS Codes: 2309.10 and 2309.90) 
- Casein, caseinates and other casein derivatives (HS Codes: 3501.10 and 3501.90)
- Milk albumin and other milk albumin derivatives (HS Codes: 3502.20 and 3502.90)</t>
  </si>
  <si>
    <t>Animal diseases,Animal health</t>
  </si>
  <si>
    <t>G/SPS/N/CAN/1091</t>
  </si>
  <si>
    <t>Regulations Amending the Food and Drug Regulations (Food Irradiation)</t>
  </si>
  <si>
    <t>The proposed amendments would enable regulations that allow, but not require, the beef industry to use irradiation as an additional tool to improve the safety of its products. Like all other irradiated foods, irradiated ground beef would need to be clearly labelled as such.</t>
  </si>
  <si>
    <t>16/02/2017</t>
  </si>
  <si>
    <t>Fresh and frozen raw ground beef products (ICS Code: 67.120.10)</t>
  </si>
  <si>
    <t>Food safety,Human health,Irradiation</t>
  </si>
  <si>
    <t>G/SPS/N/THA/240</t>
  </si>
  <si>
    <t xml:space="preserve">Draft Ministry of Public Health Notification entitled "Gluten-free on food label" </t>
  </si>
  <si>
    <t>The draft MOPH notification proposes to prescribe the "gluten free" food labelling as follows:
1. Food complying with the following criteria can make declaration of "gluten free" on food label:
(a) Cereasl other than cereals or root plants which naturally contain gluten;
(b) Flour made from (a);
(c) Food product having ingredient from (a) or (b);
(d) Food consisting of one or more ingredients from wheat as all Triticum species (i.e. durum wheat, spelt, kamut), rye, barley, oats or their crossbred varieties which have been specially processed to remove gluten, and the gluten level in a final product sold to consumer does not exceed 20 mg/kg of the final food product;
2. Declaration of food in item 1. can be displayed as "gluten free" only. In case of food in item (d), the text of "being specially processed to remove gluten" shall be displayed together with "gluten free";
3. Method of analysis shall be based on the Standard for Foods for Special Dietary Use for Persons Intolerant to Gluten CODEX STAN 118-1979;
4. This MOPH notification shall come into force as from the day following date of its publication in the Government Gazette.</t>
  </si>
  <si>
    <t>G/SPS/N/THA/219/Add.3</t>
  </si>
  <si>
    <t>G/TBT/N/KOR/708</t>
  </si>
  <si>
    <t>A. Proposed Amendments to the enforcement decree of the act on Promotion of Environment-friendly Agriculture and Fisheries, and Management of and Support for Organic Foods (15 pages, in Korean)_x000D_
_x000D_
B. Proposed Amendments to the enforcement rule of the Act on Promotion of Environment-friendly Agriculture and Fisheries, and Management of and Support for Organic Foods (167 pages, in Korean).</t>
  </si>
  <si>
    <t>A. Proposed Amendments to the enforcement decree of the act on Promotion of Environment-friendly Agriculture and Fisheries, and Management of and Support for Organic FoodsRevision of administrative authority assignment (Article 5 (draft))New regulation on handling identification information (Article 7 (draft))B. Proposed Amendments to the enforcement&amp;nbsp;rule of the Act on Promotion of Environment-friendly Agriculture and Fisheries, and Management and Support for Organic Foods, etc. under Ministry of Agriculture, Food and Rural Affairs Detailed regulation for certification evaluator training (Article 32-3 (draft))Requirements for assessment, rating of accreditation agency, its procedure, methods, and application (Article 37-2, 37-3, 37-4, 37-5, Annex 10 (draft))Procedures for application for test laboratory appointment, re-appointment, change of designation (Article 54. 1, 54-2, 54-3 (draft))Requirements for certification of organic beekeeping products (Annex 3 (draft))Requirements for certification of organic pet feed (Annex 1 (draft), Appendix form 3)Better requirements and procedures for administrative measures such as cancellation of certification (Annex 8 (draft))Labelling of effects and potency of organic agricultural material (Annex 13, 14, 17 (draft))</t>
  </si>
  <si>
    <t>Environment-friendly agricultural and fishery products, processed organic foods and materials for organic farming</t>
  </si>
  <si>
    <t>G/TBT/N/THA/495</t>
  </si>
  <si>
    <t>Draft Ministry of Public Health Notification entitled "Gluten-free on food label" (3 pages, in Thai)</t>
  </si>
  <si>
    <t xml:space="preserve">The draft MOPH Notification proposes to prescribe the "gluten free" food labelling as follows:Food complied with following criteria can make declaration of "gluten free"on food label: (a) cereal other than Cereal or root plants which naturally contain gluten;(b)&amp;nbsp;flour made from (a);(c) food product having&amp;nbsp; ingredient from &amp;nbsp;(a) or (b);(d) food consisting of one or more ingredients from wheat as&amp;nbsp; all Triticum species (i.e. durum wheat, spelt, KAMUT), rye, barley, oats or their crossbred varieties which have been specially processed to remove gluten, and the gluten level in a final product sold to consumer does not exceed 20 mg/kg of the final food product.2 . Declaration of food in item 1 can be displayed as "gluten free" only. In case of &amp;nbsp;food in item (d), the text of&amp;nbsp;"being specially processed to remove gluten" shall be displayed together with "gluten free".3. Method of analysis shall be based on&amp;nbsp; the Standard for foods for special dietary use for persons intolerant to gluten CODEX STAN 118-19794. This MOPH Notification shall come into force as from the day following date of its publication in the Government Gazette.&amp;nbsp; </t>
  </si>
  <si>
    <t>Consumer information, Labelling,Prevention of deceptive practices and consumer protection</t>
  </si>
  <si>
    <t>G/TBT/N/CAN/517</t>
  </si>
  <si>
    <t>Regulations Amending the Food and Drug Regulations (Food Irradiation) (14 pages, available in English and French).</t>
  </si>
  <si>
    <t>Fresh and frozen raw ground beef products  (ICS Codes: 67.120.10)</t>
  </si>
  <si>
    <t>HS codes: 0201 ICS codes: 67.120.10</t>
  </si>
  <si>
    <t>G/SPS/N/EU/198</t>
  </si>
  <si>
    <t>Commission Implementing Regulation (EU) 2017/66 of 14 December 2016 concerning the authorisation of tannic acid as a feed additive for all animal species (Text with EEA relevance)</t>
  </si>
  <si>
    <t>This regulatory measure authorises the commercialisation of tannic acid as feed additive in the category of "sensory additives" subsequent to the re-evaluation by the European Food Safety Agency (EFSA) according to Article 10(2) of Regulation (EC)1831/2003. Appropriate protective measures are recommended as it has been considered as irritant to skin, eyes and respiratory tract.</t>
  </si>
  <si>
    <t>Animal feed,Animal health,Feed additives</t>
  </si>
  <si>
    <t>G/TBT/N/IND/57</t>
  </si>
  <si>
    <t>Draft Food Safety and Standards (Food Products Standards and Food Additives) Amendment Regulations, 2017 (1 pages, in English).</t>
  </si>
  <si>
    <t>The Draft Food Safety and Standards (Food Products Standards and Food Additives) Amendments Regulations, 2017 details the omission of provision from 2.10.6(1) Beverages Non - Alcoholic-Carbonated, for declaration of added sugar.</t>
  </si>
  <si>
    <t>Omission of provision from 2.10.6(1) Beverages Non - Alcoholic-Carbonated, for declaration of added sugar.</t>
  </si>
  <si>
    <t>G/TBT/N/USA/1274</t>
  </si>
  <si>
    <t>Standards of Identity for Malt Beverages (3 pages, in English)</t>
  </si>
  <si>
    <t>Amends rules relating to Net Contents and prescribes how the net contents of a malt beverage must be stated on the label.</t>
  </si>
  <si>
    <t>Malt beverages</t>
  </si>
  <si>
    <t>HS codes: 2203 ICS codes: 67.160</t>
  </si>
  <si>
    <t>G/TBT/N/TZA/65</t>
  </si>
  <si>
    <t>AFDC 14 (4836) P3, Danbo cheese  Specification (5 pages, in English)</t>
  </si>
  <si>
    <t>This standard specifies requirements, methods of sampling and test for Danbo cheese intended for human consumption.</t>
  </si>
  <si>
    <t>Cheese (ICS: 67.100.30)</t>
  </si>
  <si>
    <t xml:space="preserve">HS codes: 0406 </t>
  </si>
  <si>
    <t>Protection of Human health or Safety,Quality requirements</t>
  </si>
  <si>
    <t>G/TBT/N/TZA/68</t>
  </si>
  <si>
    <t>AFDC 14 (5074) P3 Emmental cheese  Specification (5 pages, in English)</t>
  </si>
  <si>
    <t>This standard specifies requirements, methods of sampling and test for Emmental cheese intended for human consumption.</t>
  </si>
  <si>
    <t>HS codes: 0406 ICS codes: 67.100.30</t>
  </si>
  <si>
    <t>G/TBT/N/TZA/69</t>
  </si>
  <si>
    <t>AFDC 14(4838) P3, General cheese  Specification (6 pages, in English)</t>
  </si>
  <si>
    <t>This standard specifies requirements, methods of test and sampling for cheese intended for human consumption.</t>
  </si>
  <si>
    <t>G/TBT/N/TZA/70</t>
  </si>
  <si>
    <t>AFDC14 (4837) P3 Provolone cheese  Specification (5 pages, in English)</t>
  </si>
  <si>
    <t>This standard specifies requirements, methods of test and sampling for Provolone cheese intended for human consumption.</t>
  </si>
  <si>
    <t>Cheese (67.100.30)</t>
  </si>
  <si>
    <t>G/SPS/N/TPKM/425</t>
  </si>
  <si>
    <t>Those foods or food-relevant purposes (e.g., including foods, food utensils, food containers or packaging, food cleansers, or the products containing preceding articles) classified under 44 specific CCC codes</t>
  </si>
  <si>
    <t>The import commodities which classified under 44 specific CCC codes of foods or food-relevant purposes (e.g., including foods, food utensils, food containers or packaging, food cleansers, or the products containing preceding articles) shall follow the "Regulations of Inspection of Imported Foods and Related Products" if they are used for food or food additives. The importers shall apply for inspection to the Food and Drug Administration, Ministry of Health and Welfare.</t>
  </si>
  <si>
    <r>
      <t>The import commodities which classified under 44 specific CCC codes of foods or food-relevant purposes (e.g., including foods, food utensils, food containers or packaging, food cleansers, or the products containing preceding articles) shall follow the "Regulations of Inspection of Imported Foods and Related Products" if they are used for food.</t>
    </r>
    <r>
      <rPr>
        <b/>
        <sz val="9"/>
        <color theme="1"/>
        <rFont val="Verdana"/>
        <family val="2"/>
      </rPr>
      <t xml:space="preserve"> Language(s): </t>
    </r>
    <r>
      <rPr>
        <sz val="9"/>
        <color theme="1"/>
        <rFont val="Verdana"/>
        <family val="2"/>
      </rPr>
      <t xml:space="preserve">Chinese and English. </t>
    </r>
    <r>
      <rPr>
        <b/>
        <sz val="9"/>
        <color theme="1"/>
        <rFont val="Verdana"/>
        <family val="2"/>
      </rPr>
      <t xml:space="preserve">Number of pages: </t>
    </r>
    <r>
      <rPr>
        <sz val="9"/>
        <color theme="1"/>
        <rFont val="Verdana"/>
        <family val="2"/>
      </rPr>
      <t>3</t>
    </r>
  </si>
  <si>
    <t>https://docs.wto.org/dol2fe/Pages/FE_Search/ExportFile.aspx?id=234537&amp;filename=q/G/SPS/NTPKM425.pdf</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</si>
</sst>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0"/>
      <color indexed="81"/>
      <name val="Arial"/>
      <family val="2"/>
    </font>
    <font>
      <u/>
      <sz val="10"/>
      <color indexed="81"/>
      <name val="Arial"/>
      <family val="2"/>
    </font>
    <font>
      <b/>
      <sz val="10"/>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sz val="9"/>
      <color theme="1"/>
      <name val="Verdana"/>
      <family val="2"/>
    </font>
    <font>
      <u/>
      <sz val="11"/>
      <color theme="10"/>
      <name val="Calibri"/>
      <family val="2"/>
      <scheme val="minor"/>
    </font>
    <font>
      <b/>
      <sz val="9"/>
      <color theme="1"/>
      <name val="Verdana"/>
      <family val="2"/>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4"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6" fillId="26" borderId="0" applyNumberFormat="0" applyBorder="0" applyAlignment="0" applyProtection="0"/>
    <xf numFmtId="0" fontId="7" fillId="27" borderId="2" applyNumberFormat="0" applyAlignment="0" applyProtection="0"/>
    <xf numFmtId="0" fontId="8" fillId="28" borderId="3" applyNumberFormat="0" applyAlignment="0" applyProtection="0"/>
    <xf numFmtId="0" fontId="9" fillId="0" borderId="0" applyNumberFormat="0" applyFill="0" applyBorder="0" applyAlignment="0" applyProtection="0"/>
    <xf numFmtId="0" fontId="10" fillId="29" borderId="0" applyNumberFormat="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30" borderId="2" applyNumberFormat="0" applyAlignment="0" applyProtection="0"/>
    <xf numFmtId="0" fontId="15" fillId="0" borderId="7" applyNumberFormat="0" applyFill="0" applyAlignment="0" applyProtection="0"/>
    <xf numFmtId="0" fontId="16" fillId="31" borderId="0" applyNumberFormat="0" applyBorder="0" applyAlignment="0" applyProtection="0"/>
    <xf numFmtId="0" fontId="4" fillId="32" borderId="8" applyNumberFormat="0" applyFont="0" applyAlignment="0" applyProtection="0"/>
    <xf numFmtId="0" fontId="17" fillId="27" borderId="9" applyNumberForma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0" borderId="0" applyNumberFormat="0" applyFill="0" applyBorder="0" applyAlignment="0" applyProtection="0"/>
    <xf numFmtId="0" fontId="24" fillId="0" borderId="0" applyNumberFormat="0" applyFill="0" applyBorder="0" applyAlignment="0" applyProtection="0"/>
  </cellStyleXfs>
  <cellXfs count="43">
    <xf numFmtId="0" fontId="0" fillId="0" borderId="0" xfId="0"/>
    <xf numFmtId="0" fontId="19" fillId="0" borderId="0" xfId="0" applyFont="1"/>
    <xf numFmtId="0" fontId="0" fillId="0" borderId="1" xfId="0" applyBorder="1" applyAlignment="1">
      <alignment horizontal="justify" vertical="top"/>
    </xf>
    <xf numFmtId="14" fontId="0" fillId="0" borderId="1" xfId="0" applyNumberFormat="1" applyBorder="1" applyAlignment="1">
      <alignment horizontal="justify" vertical="top"/>
    </xf>
    <xf numFmtId="0" fontId="0" fillId="0" borderId="1" xfId="0" applyBorder="1" applyAlignment="1">
      <alignment vertical="top"/>
    </xf>
    <xf numFmtId="0" fontId="0" fillId="0" borderId="0" xfId="0" applyAlignment="1">
      <alignment vertical="top"/>
    </xf>
    <xf numFmtId="0" fontId="0" fillId="0" borderId="0" xfId="0" applyAlignment="1">
      <alignment horizontal="justify" vertical="top"/>
    </xf>
    <xf numFmtId="0" fontId="19" fillId="33" borderId="1" xfId="0" applyFont="1" applyFill="1" applyBorder="1" applyAlignment="1">
      <alignment horizontal="justify" vertical="top"/>
    </xf>
    <xf numFmtId="0" fontId="6" fillId="26" borderId="1" xfId="25" applyBorder="1" applyAlignment="1">
      <alignment horizontal="justify" vertical="top"/>
    </xf>
    <xf numFmtId="0" fontId="19" fillId="34" borderId="1" xfId="0" applyFont="1" applyFill="1" applyBorder="1" applyAlignment="1">
      <alignment horizontal="justify" vertical="top"/>
    </xf>
    <xf numFmtId="0" fontId="19" fillId="35" borderId="1" xfId="0" applyFont="1" applyFill="1" applyBorder="1" applyAlignment="1">
      <alignment horizontal="justify" vertical="top"/>
    </xf>
    <xf numFmtId="0" fontId="19" fillId="36" borderId="1" xfId="0" applyFont="1" applyFill="1" applyBorder="1" applyAlignment="1">
      <alignment horizontal="justify" vertical="top"/>
    </xf>
    <xf numFmtId="0" fontId="19" fillId="37" borderId="1" xfId="0" applyFont="1" applyFill="1" applyBorder="1" applyAlignment="1">
      <alignment horizontal="justify" vertical="top"/>
    </xf>
    <xf numFmtId="14" fontId="21" fillId="0" borderId="1" xfId="0" applyNumberFormat="1" applyFont="1" applyBorder="1" applyAlignment="1">
      <alignment horizontal="justify" vertical="top"/>
    </xf>
    <xf numFmtId="0" fontId="19" fillId="0" borderId="0" xfId="0" applyFont="1" applyFill="1"/>
    <xf numFmtId="0" fontId="22" fillId="0" borderId="0" xfId="0" applyFont="1" applyFill="1"/>
    <xf numFmtId="0" fontId="0" fillId="0" borderId="0" xfId="0" applyAlignment="1">
      <alignment wrapText="1"/>
    </xf>
    <xf numFmtId="0" fontId="20" fillId="0" borderId="1" xfId="0" applyFont="1" applyBorder="1" applyAlignment="1">
      <alignment horizontal="justify" vertical="top"/>
    </xf>
    <xf numFmtId="0" fontId="0" fillId="0" borderId="1" xfId="0" applyBorder="1"/>
    <xf numFmtId="0" fontId="0" fillId="0" borderId="0" xfId="0" applyFill="1"/>
    <xf numFmtId="0" fontId="20" fillId="0" borderId="1" xfId="0" applyFont="1" applyFill="1" applyBorder="1" applyAlignment="1">
      <alignment horizontal="justify" vertical="top"/>
    </xf>
    <xf numFmtId="14" fontId="0" fillId="0" borderId="1" xfId="0" applyNumberFormat="1" applyBorder="1"/>
    <xf numFmtId="0" fontId="0" fillId="0" borderId="0" xfId="0" applyBorder="1" applyAlignment="1">
      <alignment horizontal="justify" vertical="top"/>
    </xf>
    <xf numFmtId="0" fontId="0" fillId="0" borderId="0" xfId="0" applyBorder="1"/>
    <xf numFmtId="0" fontId="19" fillId="0" borderId="1" xfId="0" applyFont="1" applyFill="1" applyBorder="1" applyAlignment="1">
      <alignment horizontal="justify" vertical="top"/>
    </xf>
    <xf numFmtId="0" fontId="0" fillId="0" borderId="11" xfId="0" applyBorder="1" applyAlignment="1">
      <alignment horizontal="justify" vertical="top"/>
    </xf>
    <xf numFmtId="14" fontId="0" fillId="0" borderId="11" xfId="0" applyNumberFormat="1" applyBorder="1" applyAlignment="1">
      <alignment horizontal="justify" vertical="top"/>
    </xf>
    <xf numFmtId="0" fontId="24" fillId="0" borderId="1" xfId="42" applyBorder="1" applyAlignment="1">
      <alignment horizontal="justify" vertical="top"/>
    </xf>
    <xf numFmtId="0" fontId="0" fillId="0" borderId="1" xfId="0" applyFill="1" applyBorder="1" applyAlignment="1">
      <alignment horizontal="justify" vertical="top"/>
    </xf>
    <xf numFmtId="14" fontId="0" fillId="0" borderId="1" xfId="0" applyNumberFormat="1" applyFill="1" applyBorder="1" applyAlignment="1">
      <alignment horizontal="justify" vertical="top"/>
    </xf>
    <xf numFmtId="14" fontId="0" fillId="0" borderId="1" xfId="0" applyNumberFormat="1" applyFont="1" applyFill="1" applyBorder="1" applyAlignment="1">
      <alignment horizontal="justify" vertical="top"/>
    </xf>
    <xf numFmtId="0" fontId="0" fillId="0" borderId="1" xfId="0" applyFont="1" applyFill="1" applyBorder="1" applyAlignment="1">
      <alignment horizontal="justify" vertical="top"/>
    </xf>
    <xf numFmtId="0" fontId="24" fillId="0" borderId="1" xfId="42" applyFill="1" applyBorder="1" applyAlignment="1">
      <alignment horizontal="justify" vertical="top"/>
    </xf>
    <xf numFmtId="0" fontId="19" fillId="0" borderId="0" xfId="0" applyFont="1" applyFill="1" applyBorder="1" applyAlignment="1">
      <alignment horizontal="justify" vertical="top"/>
    </xf>
    <xf numFmtId="0" fontId="0" fillId="0" borderId="1" xfId="0" applyBorder="1" applyAlignment="1">
      <alignment horizontal="justify" vertical="top" wrapText="1"/>
    </xf>
    <xf numFmtId="0" fontId="0" fillId="0" borderId="1" xfId="0" applyFill="1" applyBorder="1"/>
    <xf numFmtId="0" fontId="24" fillId="0" borderId="0" xfId="42" applyFill="1" applyBorder="1" applyAlignment="1">
      <alignment horizontal="justify" vertical="top"/>
    </xf>
    <xf numFmtId="0" fontId="19" fillId="0" borderId="11" xfId="0" applyFont="1" applyFill="1" applyBorder="1" applyAlignment="1">
      <alignment horizontal="justify" vertical="top"/>
    </xf>
    <xf numFmtId="0" fontId="24" fillId="0" borderId="11" xfId="42" applyFill="1" applyBorder="1" applyAlignment="1">
      <alignment horizontal="justify" vertical="top"/>
    </xf>
    <xf numFmtId="0" fontId="19" fillId="0" borderId="12" xfId="0" applyFont="1" applyFill="1" applyBorder="1" applyAlignment="1">
      <alignment horizontal="justify" vertical="top"/>
    </xf>
    <xf numFmtId="0" fontId="19" fillId="0" borderId="13" xfId="0" applyFont="1" applyFill="1" applyBorder="1" applyAlignment="1">
      <alignment horizontal="justify" vertical="top"/>
    </xf>
    <xf numFmtId="0" fontId="0" fillId="0" borderId="11" xfId="0" applyBorder="1"/>
    <xf numFmtId="0" fontId="19" fillId="38" borderId="1" xfId="0" applyFont="1" applyFill="1" applyBorder="1" applyAlignment="1">
      <alignment horizontal="justify" vertical="top"/>
    </xf>
  </cellXfs>
  <cellStyles count="43">
    <cellStyle name="%20 - Vurgu1" xfId="1" builtinId="30" customBuiltin="1"/>
    <cellStyle name="%20 - Vurgu2" xfId="2" builtinId="34" customBuiltin="1"/>
    <cellStyle name="%20 - Vurgu3" xfId="3" builtinId="38" customBuiltin="1"/>
    <cellStyle name="%20 - Vurgu4" xfId="4" builtinId="42" customBuiltin="1"/>
    <cellStyle name="%20 - Vurgu5" xfId="5" builtinId="46" customBuiltin="1"/>
    <cellStyle name="%20 - Vurgu6" xfId="6" builtinId="50" customBuiltin="1"/>
    <cellStyle name="%40 - Vurgu1" xfId="7" builtinId="31" customBuiltin="1"/>
    <cellStyle name="%40 - Vurgu2" xfId="8" builtinId="35" customBuiltin="1"/>
    <cellStyle name="%40 - Vurgu3" xfId="9" builtinId="39" customBuiltin="1"/>
    <cellStyle name="%40 - Vurgu4" xfId="10" builtinId="43" customBuiltin="1"/>
    <cellStyle name="%40 - Vurgu5" xfId="11" builtinId="47" customBuiltin="1"/>
    <cellStyle name="%40 - Vurgu6" xfId="12" builtinId="51" customBuiltin="1"/>
    <cellStyle name="%60 - Vurgu1" xfId="13" builtinId="32" customBuiltin="1"/>
    <cellStyle name="%60 - Vurgu2" xfId="14" builtinId="36" customBuiltin="1"/>
    <cellStyle name="%60 - Vurgu3" xfId="15" builtinId="40" customBuiltin="1"/>
    <cellStyle name="%60 - Vurgu4" xfId="16" builtinId="44" customBuiltin="1"/>
    <cellStyle name="%60 - Vurgu5" xfId="17" builtinId="48" customBuiltin="1"/>
    <cellStyle name="%60 - Vurgu6" xfId="18" builtinId="52" customBuiltin="1"/>
    <cellStyle name="Açıklama Metni" xfId="28" builtinId="53" customBuiltin="1"/>
    <cellStyle name="Ana Başlık" xfId="39" builtinId="15" customBuiltin="1"/>
    <cellStyle name="Bağlı Hücre" xfId="35" builtinId="24" customBuiltin="1"/>
    <cellStyle name="Başlık 1" xfId="30" builtinId="16" customBuiltin="1"/>
    <cellStyle name="Başlık 2" xfId="31" builtinId="17" customBuiltin="1"/>
    <cellStyle name="Başlık 3" xfId="32" builtinId="18" customBuiltin="1"/>
    <cellStyle name="Başlık 4" xfId="33" builtinId="19" customBuiltin="1"/>
    <cellStyle name="Çıkış" xfId="38" builtinId="21" customBuiltin="1"/>
    <cellStyle name="Giriş" xfId="34" builtinId="20" customBuiltin="1"/>
    <cellStyle name="Hesaplama" xfId="26" builtinId="22" customBuiltin="1"/>
    <cellStyle name="İşaretli Hücre" xfId="27" builtinId="23" customBuiltin="1"/>
    <cellStyle name="İyi" xfId="29" builtinId="26" customBuiltin="1"/>
    <cellStyle name="Köprü" xfId="42" builtinId="8"/>
    <cellStyle name="Kötü" xfId="25" builtinId="27" customBuiltin="1"/>
    <cellStyle name="Normal" xfId="0" builtinId="0"/>
    <cellStyle name="Not" xfId="37" builtinId="10" customBuiltin="1"/>
    <cellStyle name="Nötr" xfId="36" builtinId="28" customBuiltin="1"/>
    <cellStyle name="Toplam" xfId="40" builtinId="25" customBuiltin="1"/>
    <cellStyle name="Uyarı Metni" xfId="41" builtinId="11" customBuiltin="1"/>
    <cellStyle name="Vurgu1" xfId="19" builtinId="29" customBuiltin="1"/>
    <cellStyle name="Vurgu2" xfId="20" builtinId="33" customBuiltin="1"/>
    <cellStyle name="Vurgu3" xfId="21" builtinId="37" customBuiltin="1"/>
    <cellStyle name="Vurgu4" xfId="22" builtinId="41" customBuiltin="1"/>
    <cellStyle name="Vurgu5" xfId="23" builtinId="45" customBuiltin="1"/>
    <cellStyle name="Vurgu6" xfId="24" builtinId="49" customBuiltin="1"/>
  </cellStyles>
  <dxfs count="641">
    <dxf>
      <font>
        <b/>
        <i val="0"/>
        <color rgb="FFFF0000"/>
      </font>
    </dxf>
    <dxf>
      <font>
        <b/>
        <i val="0"/>
        <color rgb="FFFF0000"/>
      </font>
    </dxf>
    <dxf>
      <font>
        <b/>
        <i val="0"/>
        <color rgb="FFFF0000"/>
      </font>
    </dxf>
    <dxf>
      <font>
        <b/>
        <i val="0"/>
        <color rgb="FFFF0000"/>
      </font>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11200</xdr:rowOff>
    </xdr:from>
    <xdr:to>
      <xdr:col>1</xdr:col>
      <xdr:colOff>190500</xdr:colOff>
      <xdr:row>3</xdr:row>
      <xdr:rowOff>182650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00"/>
          <a:ext cx="1490382"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44533</xdr:colOff>
      <xdr:row>3</xdr:row>
      <xdr:rowOff>171450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96786"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ec.europa.eu/growth/tools-databases/tbt/nview.cfm?p=USA_1156_EN" TargetMode="External"/><Relationship Id="rId7" Type="http://schemas.openxmlformats.org/officeDocument/2006/relationships/printerSettings" Target="../printerSettings/printerSettings1.bin"/><Relationship Id="rId2" Type="http://schemas.openxmlformats.org/officeDocument/2006/relationships/hyperlink" Target="http://ec.europa.eu/growth/tools-databases/tbt/nview.cfm?p=USA_938_EN" TargetMode="External"/><Relationship Id="rId1" Type="http://schemas.openxmlformats.org/officeDocument/2006/relationships/hyperlink" Target="https://docs.wto.org/dol2fe/Pages/SS/DirectDoc.aspx?filename=t%3a%2fg%2ftbtn16%2fpry89.doc&amp;" TargetMode="External"/><Relationship Id="rId6" Type="http://schemas.openxmlformats.org/officeDocument/2006/relationships/hyperlink" Target="http://ec.europa.eu/growth/tools-databases/tbt/nview.cfm?p=CHL_379_EN" TargetMode="External"/><Relationship Id="rId5" Type="http://schemas.openxmlformats.org/officeDocument/2006/relationships/hyperlink" Target="https://docs.wto.org/imrd/directdoc.asp?DDFDocuments/t/G/TBTN16/ECU329.DOC" TargetMode="External"/><Relationship Id="rId10" Type="http://schemas.openxmlformats.org/officeDocument/2006/relationships/comments" Target="../comments1.xml"/><Relationship Id="rId4" Type="http://schemas.openxmlformats.org/officeDocument/2006/relationships/hyperlink" Target="http://ec.europa.eu/growth/tools-databases/tbt/nview.cfm?p=CHL_384_EN"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ocs.wto.org/dol2fe/Pages/FE_Search/ExportFile.aspx?id=234537&amp;filename=q/G/SPS/NTPKM425.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XFC696"/>
  <sheetViews>
    <sheetView tabSelected="1" zoomScale="85" zoomScaleNormal="85" workbookViewId="0">
      <pane xSplit="1" topLeftCell="B1" activePane="topRight" state="frozen"/>
      <selection pane="topRight" activeCell="C4" sqref="C4"/>
    </sheetView>
  </sheetViews>
  <sheetFormatPr defaultRowHeight="15" outlineLevelRow="1" outlineLevelCol="1" x14ac:dyDescent="0.25"/>
  <cols>
    <col min="1" max="1" width="19.5703125" style="6" customWidth="1"/>
    <col min="2" max="2" width="22.85546875" style="5" customWidth="1"/>
    <col min="3" max="3" width="39.28515625" customWidth="1"/>
    <col min="4" max="4" width="43.140625" customWidth="1"/>
    <col min="5" max="5" width="22.28515625" customWidth="1"/>
    <col min="6" max="6" width="27.7109375" customWidth="1"/>
    <col min="7" max="7" width="20.28515625" customWidth="1"/>
    <col min="8" max="8" width="19.85546875" customWidth="1"/>
    <col min="9" max="9" width="21.7109375" customWidth="1"/>
    <col min="10" max="10" width="23" customWidth="1"/>
    <col min="11" max="12" width="23" hidden="1" customWidth="1" outlineLevel="1"/>
    <col min="13" max="13" width="23" customWidth="1" collapsed="1"/>
    <col min="14" max="14" width="23" customWidth="1"/>
    <col min="15" max="15" width="36.85546875" style="6" customWidth="1"/>
  </cols>
  <sheetData>
    <row r="2" spans="1:15" x14ac:dyDescent="0.25">
      <c r="C2" s="1" t="s">
        <v>9345</v>
      </c>
    </row>
    <row r="4" spans="1:15" x14ac:dyDescent="0.25">
      <c r="C4" t="s">
        <v>8909</v>
      </c>
    </row>
    <row r="6" spans="1:15" s="1" customFormat="1" ht="30" x14ac:dyDescent="0.25">
      <c r="A6" s="10" t="s">
        <v>0</v>
      </c>
      <c r="B6" s="10" t="s">
        <v>1</v>
      </c>
      <c r="C6" s="10" t="s">
        <v>2</v>
      </c>
      <c r="D6" s="10" t="s">
        <v>3</v>
      </c>
      <c r="E6" s="9" t="s">
        <v>4</v>
      </c>
      <c r="F6" s="9" t="s">
        <v>5</v>
      </c>
      <c r="G6" s="9" t="s">
        <v>6</v>
      </c>
      <c r="H6" s="9" t="s">
        <v>7</v>
      </c>
      <c r="I6" s="11" t="s">
        <v>2420</v>
      </c>
      <c r="J6" s="11" t="s">
        <v>8</v>
      </c>
      <c r="K6" s="11" t="s">
        <v>9</v>
      </c>
      <c r="L6" s="11" t="s">
        <v>10</v>
      </c>
      <c r="M6" s="11" t="s">
        <v>11</v>
      </c>
      <c r="N6" s="42" t="s">
        <v>9331</v>
      </c>
      <c r="O6" s="7" t="s">
        <v>8887</v>
      </c>
    </row>
    <row r="7" spans="1:15" s="14" customFormat="1" ht="60" x14ac:dyDescent="0.25">
      <c r="A7" s="2" t="s">
        <v>18</v>
      </c>
      <c r="B7" s="2" t="s">
        <v>9379</v>
      </c>
      <c r="C7" s="2" t="s">
        <v>9380</v>
      </c>
      <c r="D7" s="2" t="s">
        <v>9381</v>
      </c>
      <c r="E7" s="3" t="str">
        <f t="shared" ref="E7:E11" si="0">"20/02/2017"</f>
        <v>20/02/2017</v>
      </c>
      <c r="F7" s="2" t="s">
        <v>9382</v>
      </c>
      <c r="G7" s="2" t="s">
        <v>9383</v>
      </c>
      <c r="H7" s="2" t="s">
        <v>24</v>
      </c>
      <c r="I7" s="3">
        <v>42806</v>
      </c>
      <c r="J7" s="32" t="str">
        <f>HYPERLINK("https://docs.wto.org/imrd/directdoc.asp?DDFDocuments/t/G/TBTN17/USA1274.DOC","EN")</f>
        <v>EN</v>
      </c>
      <c r="K7" s="24"/>
      <c r="L7" s="24"/>
      <c r="M7" s="24"/>
      <c r="N7" s="24"/>
      <c r="O7" s="24"/>
    </row>
    <row r="8" spans="1:15" s="14" customFormat="1" ht="60" x14ac:dyDescent="0.25">
      <c r="A8" s="2" t="s">
        <v>9267</v>
      </c>
      <c r="B8" s="2" t="s">
        <v>9384</v>
      </c>
      <c r="C8" s="2" t="s">
        <v>9385</v>
      </c>
      <c r="D8" s="2" t="s">
        <v>9386</v>
      </c>
      <c r="E8" s="3" t="str">
        <f t="shared" si="0"/>
        <v>20/02/2017</v>
      </c>
      <c r="F8" s="2" t="s">
        <v>9387</v>
      </c>
      <c r="G8" s="2" t="s">
        <v>9388</v>
      </c>
      <c r="H8" s="2" t="s">
        <v>9389</v>
      </c>
      <c r="I8" s="3">
        <v>42846</v>
      </c>
      <c r="J8" s="32" t="str">
        <f>HYPERLINK("https://docs.wto.org/imrd/directdoc.asp?DDFDocuments/t/G/TBTN17/TZA65.DOC","EN")</f>
        <v>EN</v>
      </c>
      <c r="K8" s="24"/>
      <c r="L8" s="24"/>
      <c r="M8" s="24"/>
      <c r="N8" s="24"/>
      <c r="O8" s="24"/>
    </row>
    <row r="9" spans="1:15" s="14" customFormat="1" ht="60" x14ac:dyDescent="0.25">
      <c r="A9" s="2" t="s">
        <v>9267</v>
      </c>
      <c r="B9" s="2" t="s">
        <v>9390</v>
      </c>
      <c r="C9" s="2" t="s">
        <v>9391</v>
      </c>
      <c r="D9" s="2" t="s">
        <v>9392</v>
      </c>
      <c r="E9" s="3" t="str">
        <f t="shared" si="0"/>
        <v>20/02/2017</v>
      </c>
      <c r="F9" s="2" t="s">
        <v>9387</v>
      </c>
      <c r="G9" s="2" t="s">
        <v>9393</v>
      </c>
      <c r="H9" s="2" t="s">
        <v>9389</v>
      </c>
      <c r="I9" s="3">
        <v>42846</v>
      </c>
      <c r="J9" s="32" t="str">
        <f>HYPERLINK("https://docs.wto.org/imrd/directdoc.asp?DDFDocuments/t/G/TBTN17/TZA68.DOC","EN")</f>
        <v>EN</v>
      </c>
      <c r="K9" s="24"/>
      <c r="L9" s="24"/>
      <c r="M9" s="24"/>
      <c r="N9" s="24"/>
      <c r="O9" s="24"/>
    </row>
    <row r="10" spans="1:15" s="14" customFormat="1" ht="60" x14ac:dyDescent="0.25">
      <c r="A10" s="2" t="s">
        <v>9267</v>
      </c>
      <c r="B10" s="2" t="s">
        <v>9394</v>
      </c>
      <c r="C10" s="2" t="s">
        <v>9395</v>
      </c>
      <c r="D10" s="2" t="s">
        <v>9396</v>
      </c>
      <c r="E10" s="3" t="str">
        <f t="shared" si="0"/>
        <v>20/02/2017</v>
      </c>
      <c r="F10" s="2" t="s">
        <v>9387</v>
      </c>
      <c r="G10" s="2" t="s">
        <v>9393</v>
      </c>
      <c r="H10" s="2" t="s">
        <v>9389</v>
      </c>
      <c r="I10" s="3">
        <v>42846</v>
      </c>
      <c r="J10" s="32" t="str">
        <f>HYPERLINK("https://docs.wto.org/imrd/directdoc.asp?DDFDocuments/t/G/TBTN17/TZA69.DOC","EN")</f>
        <v>EN</v>
      </c>
      <c r="K10" s="24"/>
      <c r="L10" s="24"/>
      <c r="M10" s="24"/>
      <c r="N10" s="24"/>
      <c r="O10" s="24"/>
    </row>
    <row r="11" spans="1:15" s="14" customFormat="1" ht="60" x14ac:dyDescent="0.25">
      <c r="A11" s="2" t="s">
        <v>9267</v>
      </c>
      <c r="B11" s="2" t="s">
        <v>9397</v>
      </c>
      <c r="C11" s="2" t="s">
        <v>9398</v>
      </c>
      <c r="D11" s="2" t="s">
        <v>9399</v>
      </c>
      <c r="E11" s="3" t="str">
        <f t="shared" si="0"/>
        <v>20/02/2017</v>
      </c>
      <c r="F11" s="2" t="s">
        <v>9400</v>
      </c>
      <c r="G11" s="2" t="s">
        <v>9388</v>
      </c>
      <c r="H11" s="2" t="s">
        <v>9389</v>
      </c>
      <c r="I11" s="3">
        <v>42846</v>
      </c>
      <c r="J11" s="32" t="str">
        <f>HYPERLINK("https://docs.wto.org/imrd/directdoc.asp?DDFDocuments/t/G/TBTN17/TZA70.DOC","EN")</f>
        <v>EN</v>
      </c>
      <c r="K11" s="24"/>
      <c r="L11" s="24"/>
      <c r="M11" s="24"/>
      <c r="N11" s="24"/>
      <c r="O11" s="24"/>
    </row>
    <row r="12" spans="1:15" ht="90" x14ac:dyDescent="0.25">
      <c r="A12" s="2" t="s">
        <v>121</v>
      </c>
      <c r="B12" s="2" t="s">
        <v>9375</v>
      </c>
      <c r="C12" s="2" t="s">
        <v>9376</v>
      </c>
      <c r="D12" s="2" t="s">
        <v>9377</v>
      </c>
      <c r="E12" s="3" t="str">
        <f t="shared" ref="E12" si="1">"17/02/2017"</f>
        <v>17/02/2017</v>
      </c>
      <c r="F12" s="2" t="s">
        <v>9378</v>
      </c>
      <c r="G12" s="2" t="s">
        <v>8909</v>
      </c>
      <c r="H12" s="2"/>
      <c r="I12" s="3"/>
      <c r="J12" s="32" t="str">
        <f>HYPERLINK("https://docs.wto.org/imrd/directdoc.asp?DDFDocuments/t/G/TBTN17/IND57.DOC","EN")</f>
        <v>EN</v>
      </c>
      <c r="K12" s="24" t="s">
        <v>8895</v>
      </c>
      <c r="L12" s="24" t="str">
        <f>HYPERLINK("https://docs.wto.org/imrd/directdoc.asp?DDFDocuments/t/G/TBTN17/IND57.DOC","EN")</f>
        <v>EN</v>
      </c>
      <c r="M12" s="24"/>
      <c r="N12" s="24"/>
      <c r="O12" s="24"/>
    </row>
    <row r="13" spans="1:15" ht="105" x14ac:dyDescent="0.25">
      <c r="A13" s="2" t="s">
        <v>1908</v>
      </c>
      <c r="B13" s="2" t="s">
        <v>9367</v>
      </c>
      <c r="C13" s="2" t="s">
        <v>9368</v>
      </c>
      <c r="D13" s="2" t="s">
        <v>9351</v>
      </c>
      <c r="E13" s="3" t="str">
        <f t="shared" ref="E13" si="2">"16/02/2017"</f>
        <v>16/02/2017</v>
      </c>
      <c r="F13" s="2" t="s">
        <v>9369</v>
      </c>
      <c r="G13" s="2" t="s">
        <v>9370</v>
      </c>
      <c r="H13" s="2" t="s">
        <v>17</v>
      </c>
      <c r="I13" s="3"/>
      <c r="J13" s="32" t="str">
        <f>HYPERLINK("https://docs.wto.org/imrd/directdoc.asp?DDFDocuments/t/G/TBTN17/CAN517.DOC","EN")</f>
        <v>EN</v>
      </c>
      <c r="K13" s="24" t="s">
        <v>8895</v>
      </c>
      <c r="L13" s="24" t="str">
        <f>HYPERLINK("https://docs.wto.org/imrd/directdoc.asp?DDFDocuments/t/G/TBTN17/CAN517.DOC","EN")</f>
        <v>EN</v>
      </c>
      <c r="M13" s="24"/>
      <c r="N13" s="24"/>
      <c r="O13" s="24"/>
    </row>
    <row r="14" spans="1:15" ht="409.5" x14ac:dyDescent="0.25">
      <c r="A14" s="2" t="s">
        <v>31</v>
      </c>
      <c r="B14" s="2" t="s">
        <v>9363</v>
      </c>
      <c r="C14" s="2" t="s">
        <v>9364</v>
      </c>
      <c r="D14" s="2" t="s">
        <v>9365</v>
      </c>
      <c r="E14" s="3" t="str">
        <f t="shared" ref="E14" si="3">"16/02/2017"</f>
        <v>16/02/2017</v>
      </c>
      <c r="F14" s="2" t="s">
        <v>2821</v>
      </c>
      <c r="G14" s="2" t="s">
        <v>9039</v>
      </c>
      <c r="H14" s="2" t="s">
        <v>9366</v>
      </c>
      <c r="I14" s="3"/>
      <c r="J14" s="32" t="str">
        <f>HYPERLINK("https://docs.wto.org/imrd/directdoc.asp?DDFDocuments/t/G/TBTN17/THA495.DOC","EN")</f>
        <v>EN</v>
      </c>
      <c r="K14" s="24" t="s">
        <v>8895</v>
      </c>
      <c r="L14" s="24" t="str">
        <f>HYPERLINK("https://docs.wto.org/imrd/directdoc.asp?DDFDocuments/t/G/TBTN17/THA495.DOC","EN")</f>
        <v>EN</v>
      </c>
      <c r="M14" s="24"/>
      <c r="N14" s="24"/>
      <c r="O14" s="24"/>
    </row>
    <row r="15" spans="1:15" ht="409.5" x14ac:dyDescent="0.25">
      <c r="A15" s="2" t="s">
        <v>8905</v>
      </c>
      <c r="B15" s="2" t="s">
        <v>9359</v>
      </c>
      <c r="C15" s="2" t="s">
        <v>9360</v>
      </c>
      <c r="D15" s="2" t="s">
        <v>9361</v>
      </c>
      <c r="E15" s="3" t="str">
        <f t="shared" ref="E15" si="4">"16/02/2017"</f>
        <v>16/02/2017</v>
      </c>
      <c r="F15" s="2" t="s">
        <v>9362</v>
      </c>
      <c r="G15" s="2" t="s">
        <v>8909</v>
      </c>
      <c r="H15" s="2" t="s">
        <v>17</v>
      </c>
      <c r="I15" s="3">
        <v>42839</v>
      </c>
      <c r="J15" s="32" t="str">
        <f>HYPERLINK("https://docs.wto.org/imrd/directdoc.asp?DDFDocuments/t/G/TBTN17/KOR708.DOC","EN")</f>
        <v>EN</v>
      </c>
      <c r="K15" s="24" t="s">
        <v>8895</v>
      </c>
      <c r="L15" s="24" t="str">
        <f>HYPERLINK("https://docs.wto.org/imrd/directdoc.asp?DDFDocuments/t/G/TBTN17/KOR708.DOC","EN")</f>
        <v>EN</v>
      </c>
      <c r="M15" s="24"/>
      <c r="N15" s="24"/>
      <c r="O15" s="24"/>
    </row>
    <row r="16" spans="1:15" s="14" customFormat="1" ht="409.5" x14ac:dyDescent="0.25">
      <c r="A16" s="2" t="s">
        <v>154</v>
      </c>
      <c r="B16" s="2" t="s">
        <v>9337</v>
      </c>
      <c r="C16" s="2" t="s">
        <v>9333</v>
      </c>
      <c r="D16" s="2" t="s">
        <v>9334</v>
      </c>
      <c r="E16" s="3">
        <v>42776</v>
      </c>
      <c r="F16" s="2" t="s">
        <v>2606</v>
      </c>
      <c r="G16" s="2" t="s">
        <v>9335</v>
      </c>
      <c r="H16" s="2" t="s">
        <v>9177</v>
      </c>
      <c r="I16" s="3">
        <v>42836</v>
      </c>
      <c r="J16" s="32" t="s">
        <v>9338</v>
      </c>
      <c r="K16" s="24"/>
      <c r="L16" s="24"/>
      <c r="M16" s="24"/>
      <c r="N16" s="24"/>
      <c r="O16" s="24"/>
    </row>
    <row r="17" spans="1:16383" ht="30" x14ac:dyDescent="0.25">
      <c r="A17" s="2" t="s">
        <v>9267</v>
      </c>
      <c r="B17" s="2" t="s">
        <v>9268</v>
      </c>
      <c r="C17" s="2" t="s">
        <v>9269</v>
      </c>
      <c r="D17" s="2" t="s">
        <v>9270</v>
      </c>
      <c r="E17" s="3" t="str">
        <f t="shared" ref="E17" si="5">"31/01/2017"</f>
        <v>31/01/2017</v>
      </c>
      <c r="F17" s="2" t="s">
        <v>9271</v>
      </c>
      <c r="G17" s="2" t="s">
        <v>9272</v>
      </c>
      <c r="H17" t="s">
        <v>9336</v>
      </c>
      <c r="I17" s="26">
        <v>42826</v>
      </c>
      <c r="J17" s="32" t="str">
        <f>HYPERLINK("https://docs.wto.org/imrd/directdoc.asp?DDFDocuments/t/G/TBTN17/TZA63.DOC","EN")</f>
        <v>EN</v>
      </c>
      <c r="K17" s="24" t="s">
        <v>8895</v>
      </c>
      <c r="L17" s="24" t="str">
        <f>HYPERLINK("https://docs.wto.org/imrd/directdoc.asp?DDFDocuments/t/G/TBTN17/TZA63.DOC","EN")</f>
        <v>EN</v>
      </c>
      <c r="M17" s="24"/>
      <c r="N17" s="24"/>
      <c r="O17" s="24"/>
    </row>
    <row r="18" spans="1:16383" s="14" customFormat="1" ht="120" x14ac:dyDescent="0.25">
      <c r="A18" s="2" t="s">
        <v>1902</v>
      </c>
      <c r="B18" s="2" t="s">
        <v>9262</v>
      </c>
      <c r="C18" s="2" t="s">
        <v>9263</v>
      </c>
      <c r="D18" s="2" t="s">
        <v>9264</v>
      </c>
      <c r="E18" s="3">
        <v>42755</v>
      </c>
      <c r="F18" s="2"/>
      <c r="G18" s="2" t="s">
        <v>9265</v>
      </c>
      <c r="H18" s="2" t="s">
        <v>24</v>
      </c>
      <c r="I18" s="3"/>
      <c r="J18" s="32" t="s">
        <v>9266</v>
      </c>
      <c r="K18" s="24"/>
      <c r="L18" s="24"/>
      <c r="M18" s="24"/>
      <c r="N18" s="24"/>
      <c r="O18" s="24"/>
    </row>
    <row r="19" spans="1:16383" ht="150" x14ac:dyDescent="0.25">
      <c r="A19" s="2" t="s">
        <v>2544</v>
      </c>
      <c r="B19" s="2" t="s">
        <v>9261</v>
      </c>
      <c r="C19" s="2" t="s">
        <v>8982</v>
      </c>
      <c r="D19" s="2" t="s">
        <v>8983</v>
      </c>
      <c r="E19" s="3">
        <v>42699</v>
      </c>
      <c r="F19" s="2" t="s">
        <v>8977</v>
      </c>
      <c r="G19" s="2" t="s">
        <v>8981</v>
      </c>
      <c r="H19" s="2" t="s">
        <v>17</v>
      </c>
      <c r="I19" s="3">
        <v>42776</v>
      </c>
      <c r="J19" s="32" t="s">
        <v>9260</v>
      </c>
      <c r="K19" s="21">
        <v>42759</v>
      </c>
      <c r="L19" s="18" t="s">
        <v>8895</v>
      </c>
      <c r="M19" s="2"/>
      <c r="N19" s="2"/>
      <c r="O19" s="2"/>
    </row>
    <row r="20" spans="1:16383" s="15" customFormat="1" ht="345" x14ac:dyDescent="0.25">
      <c r="A20" s="2" t="s">
        <v>25</v>
      </c>
      <c r="B20" s="2" t="s">
        <v>9258</v>
      </c>
      <c r="C20" s="2" t="s">
        <v>27</v>
      </c>
      <c r="D20" s="2" t="s">
        <v>28</v>
      </c>
      <c r="E20" s="3">
        <v>42702</v>
      </c>
      <c r="F20" s="2" t="s">
        <v>29</v>
      </c>
      <c r="G20" s="2"/>
      <c r="H20" s="2" t="s">
        <v>30</v>
      </c>
      <c r="I20" s="3">
        <v>43066</v>
      </c>
      <c r="J20" s="32" t="s">
        <v>9259</v>
      </c>
      <c r="K20" s="2" t="str">
        <f>HYPERLINK("https://docs.wto.org/imrd/directdoc.asp?DDFDocuments/u/G/TBTN16/KOR694.DOC")</f>
        <v>https://docs.wto.org/imrd/directdoc.asp?DDFDocuments/u/G/TBTN16/KOR694.DOC</v>
      </c>
      <c r="L20" s="2" t="str">
        <f>HYPERLINK("https://docs.wto.org/imrd/directdoc.asp?DDFDocuments/v/G/TBTN16/KOR694.DOC")</f>
        <v>https://docs.wto.org/imrd/directdoc.asp?DDFDocuments/v/G/TBTN16/KOR694.DOC</v>
      </c>
      <c r="M20" s="2"/>
      <c r="N20" s="2"/>
      <c r="O20" s="2"/>
      <c r="P20"/>
      <c r="Q20"/>
    </row>
    <row r="21" spans="1:16383" s="14" customFormat="1" ht="120" x14ac:dyDescent="0.25">
      <c r="A21" s="2" t="s">
        <v>2544</v>
      </c>
      <c r="B21" s="2" t="s">
        <v>9256</v>
      </c>
      <c r="C21" s="2" t="s">
        <v>8980</v>
      </c>
      <c r="D21" s="2" t="s">
        <v>8979</v>
      </c>
      <c r="E21" s="3">
        <v>42699</v>
      </c>
      <c r="F21" s="2" t="s">
        <v>8977</v>
      </c>
      <c r="G21" s="2" t="s">
        <v>8981</v>
      </c>
      <c r="H21" s="2" t="s">
        <v>17</v>
      </c>
      <c r="I21" s="3">
        <v>42776</v>
      </c>
      <c r="J21" s="32" t="s">
        <v>9257</v>
      </c>
      <c r="K21" s="2" t="s">
        <v>9255</v>
      </c>
      <c r="L21" s="2"/>
      <c r="M21" s="18"/>
      <c r="N21" s="18"/>
      <c r="O21" s="18"/>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c r="WWB21"/>
      <c r="WWC21"/>
      <c r="WWD21"/>
      <c r="WWE21"/>
      <c r="WWF21"/>
      <c r="WWG21"/>
      <c r="WWH21"/>
      <c r="WWI21"/>
      <c r="WWJ21"/>
      <c r="WWK21"/>
      <c r="WWL21"/>
      <c r="WWM21"/>
      <c r="WWN21"/>
      <c r="WWO21"/>
      <c r="WWP21"/>
      <c r="WWQ21"/>
      <c r="WWR21"/>
      <c r="WWS21"/>
      <c r="WWT21"/>
      <c r="WWU21"/>
      <c r="WWV21"/>
      <c r="WWW21"/>
      <c r="WWX21"/>
      <c r="WWY21"/>
      <c r="WWZ21"/>
      <c r="WXA21"/>
      <c r="WXB21"/>
      <c r="WXC21"/>
      <c r="WXD21"/>
      <c r="WXE21"/>
      <c r="WXF21"/>
      <c r="WXG21"/>
      <c r="WXH21"/>
      <c r="WXI21"/>
      <c r="WXJ21"/>
      <c r="WXK21"/>
      <c r="WXL21"/>
      <c r="WXM21"/>
      <c r="WXN21"/>
      <c r="WXO21"/>
      <c r="WXP21"/>
      <c r="WXQ21"/>
      <c r="WXR21"/>
      <c r="WXS21"/>
      <c r="WXT21"/>
      <c r="WXU21"/>
      <c r="WXV21"/>
      <c r="WXW21"/>
      <c r="WXX21"/>
      <c r="WXY21"/>
      <c r="WXZ21"/>
      <c r="WYA21"/>
      <c r="WYB21"/>
      <c r="WYC21"/>
      <c r="WYD21"/>
      <c r="WYE21"/>
      <c r="WYF21"/>
      <c r="WYG21"/>
      <c r="WYH21"/>
      <c r="WYI21"/>
      <c r="WYJ21"/>
      <c r="WYK21"/>
      <c r="WYL21"/>
      <c r="WYM21"/>
      <c r="WYN21"/>
      <c r="WYO21"/>
      <c r="WYP21"/>
      <c r="WYQ21"/>
      <c r="WYR21"/>
      <c r="WYS21"/>
      <c r="WYT21"/>
      <c r="WYU21"/>
      <c r="WYV21"/>
      <c r="WYW21"/>
      <c r="WYX21"/>
      <c r="WYY21"/>
      <c r="WYZ21"/>
      <c r="WZA21"/>
      <c r="WZB21"/>
      <c r="WZC21"/>
      <c r="WZD21"/>
      <c r="WZE21"/>
      <c r="WZF21"/>
      <c r="WZG21"/>
      <c r="WZH21"/>
      <c r="WZI21"/>
      <c r="WZJ21"/>
      <c r="WZK21"/>
      <c r="WZL21"/>
      <c r="WZM21"/>
      <c r="WZN21"/>
      <c r="WZO21"/>
      <c r="WZP21"/>
      <c r="WZQ21"/>
      <c r="WZR21"/>
      <c r="WZS21"/>
      <c r="WZT21"/>
      <c r="WZU21"/>
      <c r="WZV21"/>
      <c r="WZW21"/>
      <c r="WZX21"/>
      <c r="WZY21"/>
      <c r="WZZ21"/>
      <c r="XAA21"/>
      <c r="XAB21"/>
      <c r="XAC21"/>
      <c r="XAD21"/>
      <c r="XAE21"/>
      <c r="XAF21"/>
      <c r="XAG21"/>
      <c r="XAH21"/>
      <c r="XAI21"/>
      <c r="XAJ21"/>
      <c r="XAK21"/>
      <c r="XAL21"/>
      <c r="XAM21"/>
      <c r="XAN21"/>
      <c r="XAO21"/>
      <c r="XAP21"/>
      <c r="XAQ21"/>
      <c r="XAR21"/>
      <c r="XAS21"/>
      <c r="XAT21"/>
      <c r="XAU21"/>
      <c r="XAV21"/>
      <c r="XAW21"/>
      <c r="XAX21"/>
      <c r="XAY21"/>
      <c r="XAZ21"/>
      <c r="XBA21"/>
      <c r="XBB21"/>
      <c r="XBC21"/>
      <c r="XBD21"/>
      <c r="XBE21"/>
      <c r="XBF21"/>
      <c r="XBG21"/>
      <c r="XBH21"/>
      <c r="XBI21"/>
      <c r="XBJ21"/>
      <c r="XBK21"/>
      <c r="XBL21"/>
      <c r="XBM21"/>
      <c r="XBN21"/>
      <c r="XBO21"/>
      <c r="XBP21"/>
      <c r="XBQ21"/>
      <c r="XBR21"/>
      <c r="XBS21"/>
      <c r="XBT21"/>
      <c r="XBU21"/>
      <c r="XBV21"/>
      <c r="XBW21"/>
      <c r="XBX21"/>
      <c r="XBY21"/>
      <c r="XBZ21"/>
      <c r="XCA21"/>
      <c r="XCB21"/>
      <c r="XCC21"/>
      <c r="XCD21"/>
      <c r="XCE21"/>
      <c r="XCF21"/>
      <c r="XCG21"/>
      <c r="XCH21"/>
      <c r="XCI21"/>
      <c r="XCJ21"/>
      <c r="XCK21"/>
      <c r="XCL21"/>
      <c r="XCM21"/>
      <c r="XCN21"/>
      <c r="XCO21"/>
      <c r="XCP21"/>
      <c r="XCQ21"/>
      <c r="XCR21"/>
      <c r="XCS21"/>
      <c r="XCT21"/>
      <c r="XCU21"/>
      <c r="XCV21"/>
      <c r="XCW21"/>
      <c r="XCX21"/>
      <c r="XCY21"/>
      <c r="XCZ21"/>
      <c r="XDA21"/>
      <c r="XDB21"/>
      <c r="XDC21"/>
      <c r="XDD21"/>
      <c r="XDE21"/>
      <c r="XDF21"/>
      <c r="XDG21"/>
      <c r="XDH21"/>
      <c r="XDI21"/>
      <c r="XDJ21"/>
      <c r="XDK21"/>
      <c r="XDL21"/>
      <c r="XDM21"/>
      <c r="XDN21"/>
      <c r="XDO21"/>
      <c r="XDP21"/>
      <c r="XDQ21"/>
      <c r="XDR21"/>
      <c r="XDS21"/>
      <c r="XDT21"/>
      <c r="XDU21"/>
      <c r="XDV21"/>
      <c r="XDW21"/>
      <c r="XDX21"/>
      <c r="XDY21"/>
      <c r="XDZ21"/>
      <c r="XEA21"/>
      <c r="XEB21"/>
      <c r="XEC21"/>
      <c r="XED21"/>
      <c r="XEE21"/>
      <c r="XEF21"/>
      <c r="XEG21"/>
      <c r="XEH21"/>
      <c r="XEI21"/>
      <c r="XEJ21"/>
      <c r="XEK21"/>
      <c r="XEL21"/>
      <c r="XEM21"/>
      <c r="XEN21"/>
      <c r="XEO21"/>
      <c r="XEP21"/>
      <c r="XEQ21"/>
      <c r="XER21"/>
      <c r="XES21"/>
      <c r="XET21"/>
      <c r="XEU21"/>
      <c r="XEV21"/>
      <c r="XEW21"/>
      <c r="XEX21"/>
      <c r="XEY21"/>
      <c r="XEZ21"/>
      <c r="XFA21"/>
      <c r="XFB21"/>
      <c r="XFC21"/>
    </row>
    <row r="22" spans="1:16383" s="14" customFormat="1" ht="409.5" x14ac:dyDescent="0.25">
      <c r="A22" s="2" t="s">
        <v>18</v>
      </c>
      <c r="B22" s="2" t="s">
        <v>9219</v>
      </c>
      <c r="C22" s="2" t="s">
        <v>9220</v>
      </c>
      <c r="D22" s="2" t="s">
        <v>9221</v>
      </c>
      <c r="E22" s="3" t="str">
        <f t="shared" ref="E22:E23" si="6">"26/01/2017"</f>
        <v>26/01/2017</v>
      </c>
      <c r="F22" s="2" t="s">
        <v>9222</v>
      </c>
      <c r="G22" s="2" t="s">
        <v>9183</v>
      </c>
      <c r="H22" s="2" t="s">
        <v>24</v>
      </c>
      <c r="I22" s="3">
        <v>42814</v>
      </c>
      <c r="J22" s="32" t="str">
        <f>HYPERLINK("https://docs.wto.org/imrd/directdoc.asp?DDFDocuments/t/G/TBTN17/USA1264.DOC","EN")</f>
        <v>EN</v>
      </c>
      <c r="K22" s="33"/>
      <c r="L22" s="33"/>
      <c r="M22" s="24"/>
      <c r="N22" s="24"/>
      <c r="O22" s="24"/>
    </row>
    <row r="23" spans="1:16383" s="14" customFormat="1" ht="300" x14ac:dyDescent="0.25">
      <c r="A23" s="2" t="s">
        <v>18</v>
      </c>
      <c r="B23" s="2" t="s">
        <v>9223</v>
      </c>
      <c r="C23" s="2" t="s">
        <v>9224</v>
      </c>
      <c r="D23" s="2" t="s">
        <v>9225</v>
      </c>
      <c r="E23" s="3" t="str">
        <f t="shared" si="6"/>
        <v>26/01/2017</v>
      </c>
      <c r="F23" s="2" t="s">
        <v>9226</v>
      </c>
      <c r="G23" s="2" t="s">
        <v>9227</v>
      </c>
      <c r="H23" s="2" t="s">
        <v>24</v>
      </c>
      <c r="I23" s="3">
        <v>42817</v>
      </c>
      <c r="J23" s="32" t="str">
        <f>HYPERLINK("https://docs.wto.org/imrd/directdoc.asp?DDFDocuments/t/G/TBTN17/USA1265.DOC","EN")</f>
        <v>EN</v>
      </c>
      <c r="K23" s="33"/>
      <c r="L23" s="33"/>
      <c r="M23" s="24"/>
      <c r="N23" s="24"/>
      <c r="O23" s="24"/>
    </row>
    <row r="24" spans="1:16383" s="14" customFormat="1" ht="150" x14ac:dyDescent="0.25">
      <c r="A24" s="2" t="s">
        <v>8905</v>
      </c>
      <c r="B24" s="2" t="s">
        <v>9188</v>
      </c>
      <c r="C24" s="2" t="s">
        <v>9189</v>
      </c>
      <c r="D24" s="2" t="s">
        <v>9190</v>
      </c>
      <c r="E24" s="3" t="str">
        <f t="shared" ref="E24:E25" si="7">"25/01/2017"</f>
        <v>25/01/2017</v>
      </c>
      <c r="F24" s="2" t="s">
        <v>9191</v>
      </c>
      <c r="G24" s="2" t="s">
        <v>9192</v>
      </c>
      <c r="H24" s="2" t="s">
        <v>8910</v>
      </c>
      <c r="I24" s="3">
        <v>42820</v>
      </c>
      <c r="J24" s="32" t="str">
        <f>HYPERLINK("https://docs.wto.org/imrd/directdoc.asp?DDFDocuments/t/G/TBTN17/KOR703.DOC","EN")</f>
        <v>EN</v>
      </c>
      <c r="K24" t="s">
        <v>8895</v>
      </c>
      <c r="L24" s="33"/>
      <c r="M24" s="24"/>
      <c r="N24" s="24"/>
      <c r="O24" s="24"/>
    </row>
    <row r="25" spans="1:16383" s="14" customFormat="1" ht="345" x14ac:dyDescent="0.25">
      <c r="A25" s="2" t="s">
        <v>9193</v>
      </c>
      <c r="B25" s="2" t="s">
        <v>9194</v>
      </c>
      <c r="C25" s="2" t="s">
        <v>9195</v>
      </c>
      <c r="D25" s="2" t="s">
        <v>9196</v>
      </c>
      <c r="E25" s="3" t="str">
        <f t="shared" si="7"/>
        <v>25/01/2017</v>
      </c>
      <c r="F25" s="2" t="s">
        <v>9197</v>
      </c>
      <c r="G25" s="2" t="s">
        <v>9198</v>
      </c>
      <c r="H25" s="2" t="s">
        <v>9199</v>
      </c>
      <c r="I25" s="3">
        <v>42820</v>
      </c>
      <c r="J25" s="32" t="str">
        <f>HYPERLINK("https://docs.wto.org/imrd/directdoc.asp?DDFDocuments/v/G/TBTN17/ESP36.DOC","ES")</f>
        <v>ES</v>
      </c>
      <c r="K25"/>
      <c r="L25" s="33"/>
      <c r="M25" s="24"/>
      <c r="N25" s="24"/>
      <c r="O25" s="24"/>
    </row>
    <row r="26" spans="1:16383" s="14" customFormat="1" ht="210" x14ac:dyDescent="0.25">
      <c r="A26" s="2" t="s">
        <v>18</v>
      </c>
      <c r="B26" s="2" t="s">
        <v>9184</v>
      </c>
      <c r="C26" s="2" t="s">
        <v>9185</v>
      </c>
      <c r="D26" s="2" t="s">
        <v>9186</v>
      </c>
      <c r="E26" s="3" t="str">
        <f t="shared" ref="E26" si="8">"24/01/2017"</f>
        <v>24/01/2017</v>
      </c>
      <c r="F26" s="2" t="s">
        <v>9187</v>
      </c>
      <c r="G26" s="2" t="s">
        <v>9039</v>
      </c>
      <c r="H26" s="2" t="s">
        <v>24</v>
      </c>
      <c r="I26" s="3">
        <v>42814</v>
      </c>
      <c r="J26" s="32" t="str">
        <f>HYPERLINK("https://docs.wto.org/imrd/directdoc.asp?DDFDocuments/t/G/TBTN17/USA1262.DOC","EN")</f>
        <v>EN</v>
      </c>
      <c r="K26" s="33"/>
      <c r="L26" s="33"/>
      <c r="M26" s="24"/>
      <c r="N26" s="24"/>
      <c r="O26" s="24"/>
    </row>
    <row r="27" spans="1:16383" s="14" customFormat="1" ht="165" x14ac:dyDescent="0.25">
      <c r="A27" s="2" t="s">
        <v>18</v>
      </c>
      <c r="B27" s="2" t="s">
        <v>9179</v>
      </c>
      <c r="C27" s="2" t="s">
        <v>9180</v>
      </c>
      <c r="D27" s="2" t="s">
        <v>9181</v>
      </c>
      <c r="E27" s="3" t="str">
        <f t="shared" ref="E27" si="9">"20/01/2017"</f>
        <v>20/01/2017</v>
      </c>
      <c r="F27" s="2" t="s">
        <v>9182</v>
      </c>
      <c r="G27" s="2" t="s">
        <v>9183</v>
      </c>
      <c r="H27" s="2" t="s">
        <v>24</v>
      </c>
      <c r="I27" s="3">
        <v>42808</v>
      </c>
      <c r="J27" s="32" t="str">
        <f>HYPERLINK("https://docs.wto.org/imrd/directdoc.asp?DDFDocuments/t/G/TBTN17/USA1259.DOC","EN")</f>
        <v>EN</v>
      </c>
      <c r="K27" s="33"/>
      <c r="L27" s="33"/>
      <c r="M27" s="24"/>
      <c r="N27" s="24"/>
      <c r="O27" s="24"/>
    </row>
    <row r="28" spans="1:16383" s="14" customFormat="1" ht="270" x14ac:dyDescent="0.25">
      <c r="A28" s="2" t="s">
        <v>562</v>
      </c>
      <c r="B28" s="2" t="s">
        <v>9175</v>
      </c>
      <c r="C28" s="2" t="s">
        <v>9115</v>
      </c>
      <c r="D28" s="2" t="s">
        <v>9176</v>
      </c>
      <c r="E28" s="3">
        <v>42753</v>
      </c>
      <c r="F28" s="2"/>
      <c r="G28" s="2"/>
      <c r="H28" s="2" t="s">
        <v>9177</v>
      </c>
      <c r="I28" s="3">
        <v>42813</v>
      </c>
      <c r="J28" s="32" t="s">
        <v>9178</v>
      </c>
      <c r="K28" s="33"/>
      <c r="L28" s="33"/>
      <c r="M28" s="24"/>
      <c r="N28" s="24"/>
      <c r="O28" s="24"/>
    </row>
    <row r="29" spans="1:16383" s="14" customFormat="1" ht="180" x14ac:dyDescent="0.25">
      <c r="A29" s="2" t="s">
        <v>178</v>
      </c>
      <c r="B29" s="2" t="s">
        <v>9147</v>
      </c>
      <c r="C29" s="2" t="s">
        <v>9148</v>
      </c>
      <c r="D29" s="2" t="s">
        <v>9149</v>
      </c>
      <c r="E29" s="3" t="str">
        <f>"17/01/2017"</f>
        <v>17/01/2017</v>
      </c>
      <c r="F29" s="2" t="s">
        <v>9150</v>
      </c>
      <c r="G29" s="2" t="s">
        <v>8909</v>
      </c>
      <c r="H29" s="2" t="s">
        <v>17</v>
      </c>
      <c r="I29" s="3">
        <v>42812</v>
      </c>
      <c r="J29" s="32" t="str">
        <f>HYPERLINK("https://docs.wto.org/imrd/directdoc.asp?DDFDocuments/t/G/TBTN17/ARE353.DOC","EN")</f>
        <v>EN</v>
      </c>
      <c r="K29" t="s">
        <v>8895</v>
      </c>
      <c r="L29" t="str">
        <f>HYPERLINK("https://docs.wto.org/imrd/directdoc.asp?DDFDocuments/t/G/TBTN17/ARE353.DOC","EN")</f>
        <v>EN</v>
      </c>
      <c r="M29" s="33"/>
      <c r="N29" s="33"/>
      <c r="O29" s="37"/>
    </row>
    <row r="30" spans="1:16383" s="14" customFormat="1" ht="180" x14ac:dyDescent="0.25">
      <c r="A30" s="2" t="s">
        <v>12</v>
      </c>
      <c r="B30" s="2" t="s">
        <v>8971</v>
      </c>
      <c r="C30" s="2" t="s">
        <v>8972</v>
      </c>
      <c r="D30" s="2" t="s">
        <v>8973</v>
      </c>
      <c r="E30" s="3" t="str">
        <f>"16/12/2016"</f>
        <v>16/12/2016</v>
      </c>
      <c r="F30" s="2" t="s">
        <v>1588</v>
      </c>
      <c r="G30" s="2" t="s">
        <v>8909</v>
      </c>
      <c r="H30" s="2" t="s">
        <v>8902</v>
      </c>
      <c r="I30" s="3">
        <v>42780</v>
      </c>
      <c r="J30" s="27" t="str">
        <f>HYPERLINK("https://docs.wto.org/imrd/directdoc.asp?DDFDocuments/t/G/TBTN16/EU432.DOC","EN")</f>
        <v>EN</v>
      </c>
      <c r="K30" s="23" t="s">
        <v>8895</v>
      </c>
      <c r="L30" s="23" t="str">
        <f>HYPERLINK("https://docs.wto.org/imrd/directdoc.asp?DDFDocuments/t/G/TBTN16/EU432.DOC","EN")</f>
        <v>EN</v>
      </c>
      <c r="M30" s="18"/>
      <c r="N30" s="18"/>
      <c r="O30" s="24"/>
    </row>
    <row r="31" spans="1:16383" s="14" customFormat="1" ht="360" x14ac:dyDescent="0.25">
      <c r="A31" s="2" t="s">
        <v>1702</v>
      </c>
      <c r="B31" s="2" t="s">
        <v>9126</v>
      </c>
      <c r="C31" s="2" t="s">
        <v>9127</v>
      </c>
      <c r="D31" s="2" t="s">
        <v>9128</v>
      </c>
      <c r="E31" s="3" t="str">
        <f>"13/01/2017"</f>
        <v>13/01/2017</v>
      </c>
      <c r="F31" s="2" t="s">
        <v>9129</v>
      </c>
      <c r="G31" s="2" t="s">
        <v>9130</v>
      </c>
      <c r="H31" s="2" t="s">
        <v>9131</v>
      </c>
      <c r="I31" s="3">
        <v>42808</v>
      </c>
      <c r="J31" s="32" t="str">
        <f>HYPERLINK("https://docs.wto.org/imrd/directdoc.asp?DDFDocuments/t/G/TBTN17/IRL3.DOC","EN")</f>
        <v>EN</v>
      </c>
      <c r="K31" s="36" t="s">
        <v>8895</v>
      </c>
      <c r="L31" s="36" t="str">
        <f>HYPERLINK("https://docs.wto.org/imrd/directdoc.asp?DDFDocuments/t/G/TBTN17/IRL3.DOC","EN")</f>
        <v>EN</v>
      </c>
      <c r="M31" s="32"/>
      <c r="N31" s="32"/>
      <c r="O31" s="24"/>
    </row>
    <row r="32" spans="1:16383" ht="135" x14ac:dyDescent="0.25">
      <c r="A32" s="2" t="s">
        <v>184</v>
      </c>
      <c r="B32" s="2" t="s">
        <v>9132</v>
      </c>
      <c r="C32" s="2" t="s">
        <v>9133</v>
      </c>
      <c r="D32" s="2" t="s">
        <v>9134</v>
      </c>
      <c r="E32" s="3" t="str">
        <f>"13/01/2017"</f>
        <v>13/01/2017</v>
      </c>
      <c r="F32" s="2" t="s">
        <v>9135</v>
      </c>
      <c r="G32" s="2" t="s">
        <v>9136</v>
      </c>
      <c r="H32" s="2" t="s">
        <v>413</v>
      </c>
      <c r="I32" s="3">
        <v>42808</v>
      </c>
      <c r="J32" s="32" t="str">
        <f>HYPERLINK("https://docs.wto.org/imrd/directdoc.asp?DDFDocuments/t/G/TBTN17/ARE352.DOC","EN")</f>
        <v>EN</v>
      </c>
      <c r="K32" s="32" t="s">
        <v>8895</v>
      </c>
      <c r="L32" s="32" t="str">
        <f>HYPERLINK("https://docs.wto.org/imrd/directdoc.asp?DDFDocuments/t/G/TBTN17/ARE352.DOC","EN")</f>
        <v>EN</v>
      </c>
      <c r="M32" s="32"/>
      <c r="N32" s="32"/>
      <c r="O32" s="32"/>
    </row>
    <row r="33" spans="1:22" ht="120" x14ac:dyDescent="0.25">
      <c r="A33" s="2" t="s">
        <v>8905</v>
      </c>
      <c r="B33" s="2" t="s">
        <v>8906</v>
      </c>
      <c r="C33" s="2" t="s">
        <v>8907</v>
      </c>
      <c r="D33" s="2" t="s">
        <v>8908</v>
      </c>
      <c r="E33" s="3" t="str">
        <f>"12/12/2016"</f>
        <v>12/12/2016</v>
      </c>
      <c r="F33" s="2" t="s">
        <v>29</v>
      </c>
      <c r="G33" s="2" t="s">
        <v>8909</v>
      </c>
      <c r="H33" s="2" t="s">
        <v>8910</v>
      </c>
      <c r="I33" s="3">
        <v>42776</v>
      </c>
      <c r="J33" s="2" t="s">
        <v>8914</v>
      </c>
      <c r="K33" s="2" t="s">
        <v>8895</v>
      </c>
      <c r="L33" s="2" t="str">
        <f>HYPERLINK("https://docs.wto.org/imrd/directdoc.asp?DDFDocuments/t/G/TBTN16/KOR695.DOC","EN")</f>
        <v>EN</v>
      </c>
      <c r="M33" s="2" t="s">
        <v>8916</v>
      </c>
      <c r="N33" s="2"/>
      <c r="O33" s="32"/>
    </row>
    <row r="34" spans="1:22" s="14" customFormat="1" ht="345" x14ac:dyDescent="0.25">
      <c r="A34" s="2" t="s">
        <v>8905</v>
      </c>
      <c r="B34" s="2" t="s">
        <v>8911</v>
      </c>
      <c r="C34" s="2" t="s">
        <v>8912</v>
      </c>
      <c r="D34" s="2" t="s">
        <v>8913</v>
      </c>
      <c r="E34" s="3" t="str">
        <f>"12/12/2016"</f>
        <v>12/12/2016</v>
      </c>
      <c r="F34" s="2" t="s">
        <v>29</v>
      </c>
      <c r="G34" s="2" t="s">
        <v>8909</v>
      </c>
      <c r="H34" s="2" t="s">
        <v>8910</v>
      </c>
      <c r="I34" s="3">
        <v>42776</v>
      </c>
      <c r="J34" s="2" t="s">
        <v>8915</v>
      </c>
      <c r="K34" s="2" t="s">
        <v>8895</v>
      </c>
      <c r="L34" s="2" t="str">
        <f>HYPERLINK("https://docs.wto.org/imrd/directdoc.asp?DDFDocuments/t/G/TBTN16/KOR696.DOC","EN")</f>
        <v>EN</v>
      </c>
      <c r="M34" s="2" t="s">
        <v>8917</v>
      </c>
      <c r="N34" s="2"/>
      <c r="O34" s="24"/>
    </row>
    <row r="35" spans="1:22" s="14" customFormat="1" ht="120" x14ac:dyDescent="0.25">
      <c r="A35" s="2" t="s">
        <v>1908</v>
      </c>
      <c r="B35" s="2" t="s">
        <v>8897</v>
      </c>
      <c r="C35" s="2" t="s">
        <v>8898</v>
      </c>
      <c r="D35" s="2" t="s">
        <v>8899</v>
      </c>
      <c r="E35" s="3" t="str">
        <f>"12/12/2016"</f>
        <v>12/12/2016</v>
      </c>
      <c r="F35" s="17" t="s">
        <v>8900</v>
      </c>
      <c r="G35" s="2" t="s">
        <v>8901</v>
      </c>
      <c r="H35" s="2" t="s">
        <v>8902</v>
      </c>
      <c r="I35" s="3">
        <v>42776</v>
      </c>
      <c r="J35" s="2" t="s">
        <v>8904</v>
      </c>
      <c r="K35" s="2" t="s">
        <v>8895</v>
      </c>
      <c r="L35" s="2" t="str">
        <f>HYPERLINK("https://docs.wto.org/imrd/directdoc.asp?DDFDocuments/t/G/TBTN16/CAN506.DOC","EN")</f>
        <v>EN</v>
      </c>
      <c r="M35" s="2" t="s">
        <v>8903</v>
      </c>
      <c r="N35" s="2"/>
      <c r="O35" s="18"/>
      <c r="P35"/>
      <c r="Q35"/>
      <c r="R35"/>
      <c r="S35"/>
      <c r="T35"/>
      <c r="U35"/>
      <c r="V35"/>
    </row>
    <row r="36" spans="1:22" s="14" customFormat="1" ht="60" x14ac:dyDescent="0.25">
      <c r="A36" s="2" t="s">
        <v>18</v>
      </c>
      <c r="B36" s="2" t="s">
        <v>8918</v>
      </c>
      <c r="C36" s="2" t="s">
        <v>8919</v>
      </c>
      <c r="D36" s="2" t="s">
        <v>8920</v>
      </c>
      <c r="E36" s="3" t="str">
        <f>"12/12/2016"</f>
        <v>12/12/2016</v>
      </c>
      <c r="F36" s="2" t="s">
        <v>8921</v>
      </c>
      <c r="G36" s="2" t="s">
        <v>8922</v>
      </c>
      <c r="H36" s="2" t="s">
        <v>413</v>
      </c>
      <c r="I36" s="3">
        <v>42736</v>
      </c>
      <c r="J36" s="2" t="s">
        <v>8923</v>
      </c>
      <c r="K36" s="2" t="s">
        <v>8895</v>
      </c>
      <c r="L36" s="2" t="str">
        <f>HYPERLINK("https://docs.wto.org/imrd/directdoc.asp?DDFDocuments/t/G/TBTN16/USA1245.DOC","EN")</f>
        <v>EN</v>
      </c>
      <c r="M36" s="2" t="s">
        <v>8924</v>
      </c>
      <c r="N36" s="2"/>
      <c r="O36" s="24"/>
    </row>
    <row r="37" spans="1:22" ht="225" x14ac:dyDescent="0.25">
      <c r="A37" s="2" t="s">
        <v>18</v>
      </c>
      <c r="B37" s="2" t="s">
        <v>9035</v>
      </c>
      <c r="C37" s="2" t="s">
        <v>9036</v>
      </c>
      <c r="D37" s="2" t="s">
        <v>9037</v>
      </c>
      <c r="E37" s="3" t="str">
        <f>"05/01/2017"</f>
        <v>05/01/2017</v>
      </c>
      <c r="F37" s="17" t="s">
        <v>9038</v>
      </c>
      <c r="G37" s="2" t="s">
        <v>9039</v>
      </c>
      <c r="H37" s="2" t="s">
        <v>9040</v>
      </c>
      <c r="I37" s="3">
        <v>42800</v>
      </c>
      <c r="J37" s="27" t="str">
        <f>HYPERLINK("https://docs.wto.org/imrd/directdoc.asp?DDFDocuments/t/G/TBTN17/USA1249.DOC","EN")</f>
        <v>EN</v>
      </c>
      <c r="K37" s="18" t="s">
        <v>8895</v>
      </c>
      <c r="L37" s="18" t="str">
        <f>HYPERLINK("https://docs.wto.org/imrd/directdoc.asp?DDFDocuments/t/G/TBTN17/USA1249.DOC","EN")</f>
        <v>EN</v>
      </c>
      <c r="M37" s="18"/>
      <c r="N37" s="18"/>
      <c r="O37" s="18"/>
    </row>
    <row r="38" spans="1:22" ht="90" outlineLevel="1" x14ac:dyDescent="0.25">
      <c r="A38" s="2" t="s">
        <v>184</v>
      </c>
      <c r="B38" s="2" t="s">
        <v>9168</v>
      </c>
      <c r="C38" s="2" t="s">
        <v>9169</v>
      </c>
      <c r="D38" s="2" t="s">
        <v>9170</v>
      </c>
      <c r="E38" s="3">
        <v>42747</v>
      </c>
      <c r="F38" s="2" t="s">
        <v>153</v>
      </c>
      <c r="G38" s="2" t="s">
        <v>23</v>
      </c>
      <c r="H38" s="2" t="s">
        <v>17</v>
      </c>
      <c r="I38" s="3">
        <v>42807</v>
      </c>
      <c r="J38" s="32" t="str">
        <f>HYPERLINK("https://docs.wto.org/imrd/directdoc.asp?DDFDocuments/t/G/TBTN17/ARE348.DOC")</f>
        <v>https://docs.wto.org/imrd/directdoc.asp?DDFDocuments/t/G/TBTN17/ARE348.DOC</v>
      </c>
      <c r="K38" s="21">
        <v>42807</v>
      </c>
      <c r="L38" s="18" t="s">
        <v>8895</v>
      </c>
      <c r="M38" s="18"/>
      <c r="N38" s="18"/>
      <c r="O38" s="2"/>
    </row>
    <row r="39" spans="1:22" s="14" customFormat="1" ht="405" x14ac:dyDescent="0.25">
      <c r="A39" s="2" t="s">
        <v>1908</v>
      </c>
      <c r="B39" s="2" t="s">
        <v>9100</v>
      </c>
      <c r="C39" s="2"/>
      <c r="D39" s="2" t="s">
        <v>9101</v>
      </c>
      <c r="E39" s="3">
        <v>42744</v>
      </c>
      <c r="F39" s="34" t="s">
        <v>9103</v>
      </c>
      <c r="G39" s="2"/>
      <c r="H39" s="34" t="s">
        <v>9102</v>
      </c>
      <c r="I39" s="3"/>
      <c r="J39" s="2" t="str">
        <f>HYPERLINK("https://docs.wto.org/imrd/directdoc.asp?DDFDocuments/t/G/TBTN15/CAN447A1.DOC")</f>
        <v>https://docs.wto.org/imrd/directdoc.asp?DDFDocuments/t/G/TBTN15/CAN447A1.DOC</v>
      </c>
      <c r="K39" s="18"/>
      <c r="L39" s="18" t="s">
        <v>8999</v>
      </c>
      <c r="M39" s="18"/>
      <c r="N39" s="18"/>
      <c r="O39" s="2"/>
    </row>
    <row r="40" spans="1:22" s="14" customFormat="1" ht="409.5" x14ac:dyDescent="0.25">
      <c r="A40" s="2" t="s">
        <v>18</v>
      </c>
      <c r="B40" s="2" t="s">
        <v>9052</v>
      </c>
      <c r="C40" s="2" t="s">
        <v>9053</v>
      </c>
      <c r="D40" s="2"/>
      <c r="E40" s="3">
        <v>42741</v>
      </c>
      <c r="F40" s="18"/>
      <c r="G40" s="2" t="s">
        <v>9054</v>
      </c>
      <c r="H40" s="2" t="s">
        <v>24</v>
      </c>
      <c r="I40" s="3"/>
      <c r="J40" s="2" t="s">
        <v>9055</v>
      </c>
      <c r="K40" s="18"/>
      <c r="L40" s="18" t="s">
        <v>8999</v>
      </c>
      <c r="M40" s="18"/>
      <c r="N40" s="18"/>
      <c r="O40" s="24"/>
    </row>
    <row r="41" spans="1:22" ht="195" x14ac:dyDescent="0.25">
      <c r="A41" s="2" t="s">
        <v>77</v>
      </c>
      <c r="B41" s="4" t="s">
        <v>9049</v>
      </c>
      <c r="C41" s="2" t="s">
        <v>9050</v>
      </c>
      <c r="D41" s="2" t="s">
        <v>141</v>
      </c>
      <c r="E41" s="3">
        <v>42739</v>
      </c>
      <c r="F41" s="2" t="s">
        <v>142</v>
      </c>
      <c r="G41" s="2"/>
      <c r="H41" s="2" t="s">
        <v>143</v>
      </c>
      <c r="I41" s="3"/>
      <c r="J41" s="2" t="s">
        <v>9051</v>
      </c>
      <c r="K41" s="2" t="str">
        <f>HYPERLINK("https://docs.wto.org/imrd/directdoc.asp?DDFDocuments/u/G/TBTN14/TPKM185R2.DOC")</f>
        <v>https://docs.wto.org/imrd/directdoc.asp?DDFDocuments/u/G/TBTN14/TPKM185R2.DOC</v>
      </c>
      <c r="L41" s="2" t="str">
        <f>HYPERLINK("https://docs.wto.org/imrd/directdoc.asp?DDFDocuments/v/G/TBTN14/TPKM185R2.DOC")</f>
        <v>https://docs.wto.org/imrd/directdoc.asp?DDFDocuments/v/G/TBTN14/TPKM185R2.DOC</v>
      </c>
      <c r="M41" s="2"/>
      <c r="N41" s="2"/>
      <c r="O41" s="18"/>
      <c r="P41" t="str">
        <f>HYPERLINK("http://www.epingalert.org/en/#/details/G/TBT/N/USA/1249","G/TBT/N/USA/1249")</f>
        <v>G/TBT/N/USA/1249</v>
      </c>
    </row>
    <row r="42" spans="1:22" ht="409.5" x14ac:dyDescent="0.25">
      <c r="A42" s="2" t="s">
        <v>1198</v>
      </c>
      <c r="B42" s="2" t="s">
        <v>9104</v>
      </c>
      <c r="C42" s="2" t="s">
        <v>9105</v>
      </c>
      <c r="D42" s="2" t="s">
        <v>9106</v>
      </c>
      <c r="E42" s="3">
        <v>42726</v>
      </c>
      <c r="F42" s="2"/>
      <c r="G42" s="2" t="s">
        <v>9107</v>
      </c>
      <c r="H42" s="34" t="s">
        <v>9108</v>
      </c>
      <c r="I42" s="3">
        <v>42810</v>
      </c>
      <c r="J42" s="32" t="s">
        <v>9109</v>
      </c>
      <c r="K42" s="24"/>
      <c r="L42" s="24"/>
      <c r="M42" s="24"/>
      <c r="N42" s="24"/>
      <c r="O42" s="18"/>
    </row>
    <row r="43" spans="1:22" ht="150" x14ac:dyDescent="0.25">
      <c r="A43" s="2" t="s">
        <v>2544</v>
      </c>
      <c r="B43" s="2" t="s">
        <v>9096</v>
      </c>
      <c r="C43" s="2" t="s">
        <v>9098</v>
      </c>
      <c r="D43" s="2" t="s">
        <v>9097</v>
      </c>
      <c r="E43" s="3">
        <v>42725</v>
      </c>
      <c r="F43" s="2" t="s">
        <v>5391</v>
      </c>
      <c r="G43" s="2"/>
      <c r="H43" s="24"/>
      <c r="I43" s="3"/>
      <c r="J43" s="32" t="s">
        <v>9099</v>
      </c>
      <c r="K43" s="24"/>
      <c r="L43" s="24"/>
      <c r="M43" s="24"/>
      <c r="N43" s="24"/>
      <c r="O43" s="18"/>
    </row>
    <row r="44" spans="1:22" s="14" customFormat="1" ht="409.5" x14ac:dyDescent="0.25">
      <c r="A44" s="2" t="s">
        <v>18</v>
      </c>
      <c r="B44" s="2" t="s">
        <v>8997</v>
      </c>
      <c r="C44" s="18"/>
      <c r="D44" s="2" t="s">
        <v>8998</v>
      </c>
      <c r="E44" s="3">
        <v>42719</v>
      </c>
      <c r="F44" s="2"/>
      <c r="G44" s="18"/>
      <c r="H44" s="18"/>
      <c r="I44" s="18"/>
      <c r="J44" s="2" t="str">
        <f>HYPERLINK("https://docs.wto.org/imrd/directdoc.asp?DDFDocuments/t/G/TBTN16/USA1116A3.DOC")</f>
        <v>https://docs.wto.org/imrd/directdoc.asp?DDFDocuments/t/G/TBTN16/USA1116A3.DOC</v>
      </c>
      <c r="K44" s="18"/>
      <c r="L44" s="18" t="s">
        <v>8999</v>
      </c>
      <c r="M44" s="18"/>
      <c r="N44" s="18"/>
      <c r="O44" s="18"/>
      <c r="P44"/>
      <c r="Q44"/>
      <c r="R44"/>
      <c r="S44"/>
      <c r="T44"/>
      <c r="U44"/>
      <c r="V44"/>
    </row>
    <row r="45" spans="1:22" s="14" customFormat="1" ht="135" x14ac:dyDescent="0.25">
      <c r="A45" s="2" t="s">
        <v>6784</v>
      </c>
      <c r="B45" s="2" t="s">
        <v>9004</v>
      </c>
      <c r="C45" s="2" t="s">
        <v>9005</v>
      </c>
      <c r="D45" s="2" t="s">
        <v>9006</v>
      </c>
      <c r="E45" s="3">
        <v>42717</v>
      </c>
      <c r="F45" s="17" t="s">
        <v>9007</v>
      </c>
      <c r="G45" s="2"/>
      <c r="H45" s="2" t="s">
        <v>9008</v>
      </c>
      <c r="I45" s="3">
        <v>42777</v>
      </c>
      <c r="J45" s="27" t="s">
        <v>9009</v>
      </c>
      <c r="K45" s="18"/>
      <c r="L45" s="18"/>
      <c r="M45" s="18"/>
      <c r="N45" s="18"/>
      <c r="O45" s="18"/>
      <c r="P45"/>
      <c r="Q45"/>
      <c r="R45"/>
      <c r="S45"/>
      <c r="T45"/>
      <c r="U45"/>
      <c r="V45"/>
    </row>
    <row r="46" spans="1:22" ht="90" x14ac:dyDescent="0.25">
      <c r="A46" s="2" t="s">
        <v>8889</v>
      </c>
      <c r="B46" s="2" t="s">
        <v>8890</v>
      </c>
      <c r="C46" s="2" t="s">
        <v>8891</v>
      </c>
      <c r="D46" s="2" t="s">
        <v>8892</v>
      </c>
      <c r="E46" s="3">
        <v>42711</v>
      </c>
      <c r="F46" s="2" t="s">
        <v>8893</v>
      </c>
      <c r="G46" s="2" t="s">
        <v>8894</v>
      </c>
      <c r="H46" s="2" t="s">
        <v>82</v>
      </c>
      <c r="I46" s="3"/>
      <c r="J46" s="2" t="str">
        <f>HYPERLINK("https://docs.wto.org/imrd/directdoc.asp?DDFDocuments/t/G/TBTN16/MOZ10.DOC")</f>
        <v>https://docs.wto.org/imrd/directdoc.asp?DDFDocuments/t/G/TBTN16/MOZ10.DOC</v>
      </c>
      <c r="K46" s="2"/>
      <c r="L46" s="2" t="s">
        <v>8895</v>
      </c>
      <c r="M46" s="2" t="s">
        <v>8896</v>
      </c>
      <c r="N46" s="2"/>
      <c r="O46" s="18"/>
    </row>
    <row r="47" spans="1:22" s="15" customFormat="1" ht="135" x14ac:dyDescent="0.25">
      <c r="A47" s="2" t="s">
        <v>12</v>
      </c>
      <c r="B47" s="4" t="s">
        <v>13</v>
      </c>
      <c r="C47" s="2" t="s">
        <v>14</v>
      </c>
      <c r="D47" s="2" t="s">
        <v>15</v>
      </c>
      <c r="E47" s="3">
        <v>42706</v>
      </c>
      <c r="F47" s="2" t="s">
        <v>16</v>
      </c>
      <c r="G47" s="2"/>
      <c r="H47" s="2" t="s">
        <v>17</v>
      </c>
      <c r="I47" s="3">
        <v>42766</v>
      </c>
      <c r="J47" s="2" t="str">
        <f>HYPERLINK("https://docs.wto.org/imrd/directdoc.asp?DDFDocuments/t/G/TBTN16/EU427.DOC")</f>
        <v>https://docs.wto.org/imrd/directdoc.asp?DDFDocuments/t/G/TBTN16/EU427.DOC</v>
      </c>
      <c r="K47" s="2" t="str">
        <f>HYPERLINK("https://docs.wto.org/imrd/directdoc.asp?DDFDocuments/u/G/TBTN16/EU427.DOC")</f>
        <v>https://docs.wto.org/imrd/directdoc.asp?DDFDocuments/u/G/TBTN16/EU427.DOC</v>
      </c>
      <c r="L47" s="2" t="str">
        <f>HYPERLINK("null")</f>
        <v>null</v>
      </c>
      <c r="M47" s="2" t="str">
        <f>HYPERLINK("http://www.epingalert.org/#/details/G/TBT/N/EU/427")</f>
        <v>http://www.epingalert.org/#/details/G/TBT/N/EU/427</v>
      </c>
      <c r="N47" s="2"/>
      <c r="O47" s="2"/>
      <c r="P47" t="str">
        <f>HYPERLINK("http://http://www.epingalert.org/en/#/details/G/TBT/N/USA/1245","G/TBT/N/USA/1245")</f>
        <v>G/TBT/N/USA/1245</v>
      </c>
    </row>
    <row r="48" spans="1:22" s="1" customFormat="1" ht="90" x14ac:dyDescent="0.25">
      <c r="A48" s="2" t="s">
        <v>1846</v>
      </c>
      <c r="B48" s="4" t="s">
        <v>1847</v>
      </c>
      <c r="C48" s="2" t="s">
        <v>1848</v>
      </c>
      <c r="D48" s="2" t="s">
        <v>1849</v>
      </c>
      <c r="E48" s="3">
        <v>42706</v>
      </c>
      <c r="F48" s="2" t="s">
        <v>1850</v>
      </c>
      <c r="G48" s="2" t="s">
        <v>1851</v>
      </c>
      <c r="H48" s="2" t="s">
        <v>1006</v>
      </c>
      <c r="I48" s="3">
        <v>42766</v>
      </c>
      <c r="J48" s="2" t="str">
        <f>HYPERLINK("https://docs.wto.org/imrd/directdoc.asp?DDFDocuments/t/G/TBTN16/ALB83.DOC")</f>
        <v>https://docs.wto.org/imrd/directdoc.asp?DDFDocuments/t/G/TBTN16/ALB83.DOC</v>
      </c>
      <c r="K48" s="2" t="str">
        <f>HYPERLINK("https://docs.wto.org/imrd/directdoc.asp?DDFDocuments/u/G/TBTN16/ALB83.DOC")</f>
        <v>https://docs.wto.org/imrd/directdoc.asp?DDFDocuments/u/G/TBTN16/ALB83.DOC</v>
      </c>
      <c r="L48" s="2" t="str">
        <f>HYPERLINK("null")</f>
        <v>null</v>
      </c>
      <c r="M48" s="2" t="str">
        <f>HYPERLINK("http://www.epingalert.org/#/details/G/TBT/N/ALB/83")</f>
        <v>http://www.epingalert.org/#/details/G/TBT/N/ALB/83</v>
      </c>
      <c r="N48" s="2"/>
      <c r="O48" s="2"/>
    </row>
    <row r="49" spans="1:17" s="1" customFormat="1" ht="120" x14ac:dyDescent="0.25">
      <c r="A49" s="2" t="s">
        <v>18</v>
      </c>
      <c r="B49" s="4" t="s">
        <v>19</v>
      </c>
      <c r="C49" s="2" t="s">
        <v>20</v>
      </c>
      <c r="D49" s="2" t="s">
        <v>21</v>
      </c>
      <c r="E49" s="3">
        <v>42704</v>
      </c>
      <c r="F49" s="2" t="s">
        <v>22</v>
      </c>
      <c r="G49" s="2" t="s">
        <v>23</v>
      </c>
      <c r="H49" s="2" t="s">
        <v>24</v>
      </c>
      <c r="I49" s="3">
        <v>42759</v>
      </c>
      <c r="J49" s="2" t="str">
        <f>HYPERLINK("https://docs.wto.org/imrd/directdoc.asp?DDFDocuments/t/G/TBTN16/USA1236.DOC")</f>
        <v>https://docs.wto.org/imrd/directdoc.asp?DDFDocuments/t/G/TBTN16/USA1236.DOC</v>
      </c>
      <c r="K49" s="2" t="str">
        <f>HYPERLINK("https://docs.wto.org/imrd/directdoc.asp?DDFDocuments/u/G/TBTN16/USA1236.DOC")</f>
        <v>https://docs.wto.org/imrd/directdoc.asp?DDFDocuments/u/G/TBTN16/USA1236.DOC</v>
      </c>
      <c r="L49" s="2" t="str">
        <f>HYPERLINK("https://docs.wto.org/imrd/directdoc.asp?DDFDocuments/v/G/TBTN16/USA1236.DOC")</f>
        <v>https://docs.wto.org/imrd/directdoc.asp?DDFDocuments/v/G/TBTN16/USA1236.DOC</v>
      </c>
      <c r="M49" s="2" t="str">
        <f>HYPERLINK("http://www.epingalert.org/#/details/G/TBT/N/USA/1236")</f>
        <v>http://www.epingalert.org/#/details/G/TBT/N/USA/1236</v>
      </c>
      <c r="N49" s="2"/>
      <c r="O49" s="2"/>
    </row>
    <row r="50" spans="1:17" s="15" customFormat="1" ht="345" x14ac:dyDescent="0.25">
      <c r="A50" s="2" t="s">
        <v>25</v>
      </c>
      <c r="B50" s="4" t="s">
        <v>26</v>
      </c>
      <c r="C50" s="2" t="s">
        <v>27</v>
      </c>
      <c r="D50" s="2" t="s">
        <v>28</v>
      </c>
      <c r="E50" s="3">
        <v>42702</v>
      </c>
      <c r="F50" s="2" t="s">
        <v>29</v>
      </c>
      <c r="G50" s="2"/>
      <c r="H50" s="2" t="s">
        <v>30</v>
      </c>
      <c r="I50" s="3">
        <v>42762</v>
      </c>
      <c r="J50" s="2" t="str">
        <f>HYPERLINK("https://docs.wto.org/imrd/directdoc.asp?DDFDocuments/t/G/TBTN16/KOR694.DOC")</f>
        <v>https://docs.wto.org/imrd/directdoc.asp?DDFDocuments/t/G/TBTN16/KOR694.DOC</v>
      </c>
      <c r="K50" s="2" t="str">
        <f>HYPERLINK("https://docs.wto.org/imrd/directdoc.asp?DDFDocuments/u/G/TBTN16/KOR694.DOC")</f>
        <v>https://docs.wto.org/imrd/directdoc.asp?DDFDocuments/u/G/TBTN16/KOR694.DOC</v>
      </c>
      <c r="L50" s="2" t="str">
        <f>HYPERLINK("https://docs.wto.org/imrd/directdoc.asp?DDFDocuments/v/G/TBTN16/KOR694.DOC")</f>
        <v>https://docs.wto.org/imrd/directdoc.asp?DDFDocuments/v/G/TBTN16/KOR694.DOC</v>
      </c>
      <c r="M50" s="2" t="str">
        <f>HYPERLINK("http://www.epingalert.org/#/details/G/TBT/N/KOR/694")</f>
        <v>http://www.epingalert.org/#/details/G/TBT/N/KOR/694</v>
      </c>
      <c r="N50" s="2"/>
      <c r="O50" s="2"/>
      <c r="P50"/>
      <c r="Q50"/>
    </row>
    <row r="51" spans="1:17" s="14" customFormat="1" ht="225" x14ac:dyDescent="0.25">
      <c r="A51" s="2" t="s">
        <v>18</v>
      </c>
      <c r="B51" s="4" t="s">
        <v>1624</v>
      </c>
      <c r="C51" s="2" t="s">
        <v>1625</v>
      </c>
      <c r="D51" s="2" t="s">
        <v>1626</v>
      </c>
      <c r="E51" s="3">
        <v>42702</v>
      </c>
      <c r="F51" s="2" t="s">
        <v>1627</v>
      </c>
      <c r="G51" s="2" t="s">
        <v>1628</v>
      </c>
      <c r="H51" s="2" t="s">
        <v>24</v>
      </c>
      <c r="I51" s="3">
        <v>42758</v>
      </c>
      <c r="J51" s="2" t="str">
        <f>HYPERLINK("https://docs.wto.org/imrd/directdoc.asp?DDFDocuments/t/G/TBTN16/USA1230.DOC")</f>
        <v>https://docs.wto.org/imrd/directdoc.asp?DDFDocuments/t/G/TBTN16/USA1230.DOC</v>
      </c>
      <c r="K51" s="2" t="str">
        <f>HYPERLINK("https://docs.wto.org/imrd/directdoc.asp?DDFDocuments/u/G/TBTN16/USA1230.DOC")</f>
        <v>https://docs.wto.org/imrd/directdoc.asp?DDFDocuments/u/G/TBTN16/USA1230.DOC</v>
      </c>
      <c r="L51" s="2" t="str">
        <f>HYPERLINK("https://docs.wto.org/imrd/directdoc.asp?DDFDocuments/v/G/TBTN16/USA1230.DOC")</f>
        <v>https://docs.wto.org/imrd/directdoc.asp?DDFDocuments/v/G/TBTN16/USA1230.DOC</v>
      </c>
      <c r="M51" s="2" t="str">
        <f>HYPERLINK("http://www.epingalert.org/#/details/G/TBT/N/USA/1230")</f>
        <v>http://www.epingalert.org/#/details/G/TBT/N/USA/1230</v>
      </c>
      <c r="N51" s="2"/>
      <c r="O51" s="2"/>
    </row>
    <row r="52" spans="1:17" ht="150" x14ac:dyDescent="0.25">
      <c r="A52" s="2" t="s">
        <v>2544</v>
      </c>
      <c r="B52" s="2" t="s">
        <v>8976</v>
      </c>
      <c r="C52" s="2" t="s">
        <v>8982</v>
      </c>
      <c r="D52" s="2" t="s">
        <v>8983</v>
      </c>
      <c r="E52" s="3">
        <v>42699</v>
      </c>
      <c r="F52" s="2" t="s">
        <v>8977</v>
      </c>
      <c r="G52" s="2" t="s">
        <v>8981</v>
      </c>
      <c r="H52" s="2" t="s">
        <v>17</v>
      </c>
      <c r="I52" s="3">
        <v>42759</v>
      </c>
      <c r="J52" s="2" t="str">
        <f>HYPERLINK("https://docs.wto.org/imrd/directdoc.asp?DDFDocuments/t/G/TBTN16/CHL379.DOC")</f>
        <v>https://docs.wto.org/imrd/directdoc.asp?DDFDocuments/t/G/TBTN16/CHL379.DOC</v>
      </c>
      <c r="K52" s="21">
        <v>42759</v>
      </c>
      <c r="L52" s="18" t="s">
        <v>8895</v>
      </c>
      <c r="M52" s="2" t="str">
        <f>HYPERLINK("https://docs.wto.org/imrd/directdoc.asp?DDFDocuments/v/G/TBTN16/CHL379.DOC")</f>
        <v>https://docs.wto.org/imrd/directdoc.asp?DDFDocuments/v/G/TBTN16/CHL379.DOC</v>
      </c>
      <c r="N52" s="2"/>
      <c r="O52" s="2"/>
    </row>
    <row r="53" spans="1:17" ht="120" x14ac:dyDescent="0.25">
      <c r="A53" s="2" t="s">
        <v>2544</v>
      </c>
      <c r="B53" s="2" t="s">
        <v>8978</v>
      </c>
      <c r="C53" s="2" t="s">
        <v>8980</v>
      </c>
      <c r="D53" s="2" t="s">
        <v>8979</v>
      </c>
      <c r="E53" s="3">
        <v>42699</v>
      </c>
      <c r="F53" s="2" t="s">
        <v>8977</v>
      </c>
      <c r="G53" s="2" t="s">
        <v>8981</v>
      </c>
      <c r="H53" s="2" t="s">
        <v>17</v>
      </c>
      <c r="I53" s="3">
        <v>42759</v>
      </c>
      <c r="J53" s="2" t="str">
        <f>HYPERLINK("https://docs.wto.org/imrd/directdoc.asp?DDFDocuments/t/G/TBTN16/CHL378.DOC")</f>
        <v>https://docs.wto.org/imrd/directdoc.asp?DDFDocuments/t/G/TBTN16/CHL378.DOC</v>
      </c>
      <c r="K53" s="21">
        <v>42759</v>
      </c>
      <c r="L53" s="18" t="s">
        <v>8895</v>
      </c>
      <c r="M53" s="2" t="str">
        <f>HYPERLINK("https://docs.wto.org/imrd/directdoc.asp?DDFDocuments/v/G/TBTN16/CHL378.DOC")</f>
        <v>https://docs.wto.org/imrd/directdoc.asp?DDFDocuments/v/G/TBTN16/CHL378.DOC</v>
      </c>
      <c r="N53" s="2"/>
      <c r="O53" s="2"/>
    </row>
    <row r="54" spans="1:17" ht="120" x14ac:dyDescent="0.25">
      <c r="A54" s="2" t="s">
        <v>1129</v>
      </c>
      <c r="B54" s="4" t="s">
        <v>1856</v>
      </c>
      <c r="C54" s="2" t="s">
        <v>1857</v>
      </c>
      <c r="D54" s="2" t="s">
        <v>1858</v>
      </c>
      <c r="E54" s="3">
        <v>42699</v>
      </c>
      <c r="F54" s="2"/>
      <c r="G54" s="2" t="s">
        <v>1859</v>
      </c>
      <c r="H54" s="2" t="s">
        <v>127</v>
      </c>
      <c r="I54" s="3">
        <v>42735</v>
      </c>
      <c r="J54" s="2" t="str">
        <f>HYPERLINK("https://docs.wto.org/imrd/directdoc.asp?DDFDocuments/t/G/TBTN16/KEN523.DOC")</f>
        <v>https://docs.wto.org/imrd/directdoc.asp?DDFDocuments/t/G/TBTN16/KEN523.DOC</v>
      </c>
      <c r="K54" s="2" t="str">
        <f>HYPERLINK("https://docs.wto.org/imrd/directdoc.asp?DDFDocuments/u/G/TBTN16/KEN523.DOC")</f>
        <v>https://docs.wto.org/imrd/directdoc.asp?DDFDocuments/u/G/TBTN16/KEN523.DOC</v>
      </c>
      <c r="L54" s="2" t="str">
        <f>HYPERLINK("https://docs.wto.org/imrd/directdoc.asp?DDFDocuments/v/G/TBTN16/KEN523.DOC")</f>
        <v>https://docs.wto.org/imrd/directdoc.asp?DDFDocuments/v/G/TBTN16/KEN523.DOC</v>
      </c>
      <c r="M54" s="2" t="str">
        <f>HYPERLINK("http://www.epingalert.org/#/details/G/TBT/N/KEN/523")</f>
        <v>http://www.epingalert.org/#/details/G/TBT/N/KEN/523</v>
      </c>
      <c r="N54" s="2"/>
      <c r="O54" s="2"/>
    </row>
    <row r="55" spans="1:17" ht="75" x14ac:dyDescent="0.25">
      <c r="A55" s="2" t="s">
        <v>1129</v>
      </c>
      <c r="B55" s="4" t="s">
        <v>1852</v>
      </c>
      <c r="C55" s="2" t="s">
        <v>1853</v>
      </c>
      <c r="D55" s="2" t="s">
        <v>1854</v>
      </c>
      <c r="E55" s="3">
        <v>42699</v>
      </c>
      <c r="F55" s="2"/>
      <c r="G55" s="2" t="s">
        <v>1855</v>
      </c>
      <c r="H55" s="2" t="s">
        <v>127</v>
      </c>
      <c r="I55" s="3">
        <v>42734</v>
      </c>
      <c r="J55" s="2" t="str">
        <f>HYPERLINK("https://docs.wto.org/imrd/directdoc.asp?DDFDocuments/t/G/TBTN16/KEN524.DOC")</f>
        <v>https://docs.wto.org/imrd/directdoc.asp?DDFDocuments/t/G/TBTN16/KEN524.DOC</v>
      </c>
      <c r="K55" s="2" t="str">
        <f>HYPERLINK("https://docs.wto.org/imrd/directdoc.asp?DDFDocuments/u/G/TBTN16/KEN524.DOC")</f>
        <v>https://docs.wto.org/imrd/directdoc.asp?DDFDocuments/u/G/TBTN16/KEN524.DOC</v>
      </c>
      <c r="L55" s="2" t="str">
        <f>HYPERLINK("https://docs.wto.org/imrd/directdoc.asp?DDFDocuments/v/G/TBTN16/KEN524.DOC")</f>
        <v>https://docs.wto.org/imrd/directdoc.asp?DDFDocuments/v/G/TBTN16/KEN524.DOC</v>
      </c>
      <c r="M55" s="2" t="str">
        <f>HYPERLINK("http://www.epingalert.org/#/details/G/TBT/N/KEN/524")</f>
        <v>http://www.epingalert.org/#/details/G/TBT/N/KEN/524</v>
      </c>
      <c r="N55" s="2"/>
      <c r="O55" s="2"/>
    </row>
    <row r="56" spans="1:17" ht="75" x14ac:dyDescent="0.25">
      <c r="A56" s="2" t="s">
        <v>1129</v>
      </c>
      <c r="B56" s="4" t="s">
        <v>1860</v>
      </c>
      <c r="C56" s="2" t="s">
        <v>1861</v>
      </c>
      <c r="D56" s="2" t="s">
        <v>1862</v>
      </c>
      <c r="E56" s="3">
        <v>42699</v>
      </c>
      <c r="F56" s="2"/>
      <c r="G56" s="2" t="s">
        <v>1863</v>
      </c>
      <c r="H56" s="2" t="s">
        <v>127</v>
      </c>
      <c r="I56" s="3">
        <v>42734</v>
      </c>
      <c r="J56" s="2" t="str">
        <f>HYPERLINK("https://docs.wto.org/imrd/directdoc.asp?DDFDocuments/t/G/TBTN16/KEN522.DOC")</f>
        <v>https://docs.wto.org/imrd/directdoc.asp?DDFDocuments/t/G/TBTN16/KEN522.DOC</v>
      </c>
      <c r="K56" s="2" t="str">
        <f>HYPERLINK("https://docs.wto.org/imrd/directdoc.asp?DDFDocuments/u/G/TBTN16/KEN522.DOC")</f>
        <v>https://docs.wto.org/imrd/directdoc.asp?DDFDocuments/u/G/TBTN16/KEN522.DOC</v>
      </c>
      <c r="L56" s="2" t="str">
        <f>HYPERLINK("https://docs.wto.org/imrd/directdoc.asp?DDFDocuments/v/G/TBTN16/KEN522.DOC")</f>
        <v>https://docs.wto.org/imrd/directdoc.asp?DDFDocuments/v/G/TBTN16/KEN522.DOC</v>
      </c>
      <c r="M56" s="2" t="str">
        <f>HYPERLINK("http://www.epingalert.org/#/details/G/TBT/N/KEN/522")</f>
        <v>http://www.epingalert.org/#/details/G/TBT/N/KEN/522</v>
      </c>
      <c r="N56" s="2"/>
      <c r="O56" s="2"/>
    </row>
    <row r="57" spans="1:17" ht="90" x14ac:dyDescent="0.25">
      <c r="A57" s="2" t="s">
        <v>1129</v>
      </c>
      <c r="B57" s="4" t="s">
        <v>1864</v>
      </c>
      <c r="C57" s="2" t="s">
        <v>1865</v>
      </c>
      <c r="D57" s="2" t="s">
        <v>1866</v>
      </c>
      <c r="E57" s="3">
        <v>42699</v>
      </c>
      <c r="F57" s="2"/>
      <c r="G57" s="2" t="s">
        <v>1855</v>
      </c>
      <c r="H57" s="2" t="s">
        <v>17</v>
      </c>
      <c r="I57" s="3">
        <v>42734</v>
      </c>
      <c r="J57" s="2" t="str">
        <f>HYPERLINK("https://docs.wto.org/imrd/directdoc.asp?DDFDocuments/t/G/TBTN16/KEN521.DOC")</f>
        <v>https://docs.wto.org/imrd/directdoc.asp?DDFDocuments/t/G/TBTN16/KEN521.DOC</v>
      </c>
      <c r="K57" s="2" t="str">
        <f>HYPERLINK("https://docs.wto.org/imrd/directdoc.asp?DDFDocuments/u/G/TBTN16/KEN521.DOC")</f>
        <v>https://docs.wto.org/imrd/directdoc.asp?DDFDocuments/u/G/TBTN16/KEN521.DOC</v>
      </c>
      <c r="L57" s="2" t="str">
        <f>HYPERLINK("https://docs.wto.org/imrd/directdoc.asp?DDFDocuments/v/G/TBTN16/KEN521.DOC")</f>
        <v>https://docs.wto.org/imrd/directdoc.asp?DDFDocuments/v/G/TBTN16/KEN521.DOC</v>
      </c>
      <c r="M57" s="2" t="str">
        <f>HYPERLINK("http://www.epingalert.org/#/details/G/TBT/N/KEN/521")</f>
        <v>http://www.epingalert.org/#/details/G/TBT/N/KEN/521</v>
      </c>
      <c r="N57" s="2"/>
      <c r="O57" s="2"/>
    </row>
    <row r="58" spans="1:17" ht="409.5" x14ac:dyDescent="0.25">
      <c r="A58" s="2" t="s">
        <v>31</v>
      </c>
      <c r="B58" s="4" t="s">
        <v>32</v>
      </c>
      <c r="C58" s="2" t="s">
        <v>33</v>
      </c>
      <c r="D58" s="2" t="s">
        <v>34</v>
      </c>
      <c r="E58" s="3">
        <v>42698</v>
      </c>
      <c r="F58" s="2" t="s">
        <v>35</v>
      </c>
      <c r="G58" s="2" t="s">
        <v>36</v>
      </c>
      <c r="H58" s="2" t="s">
        <v>24</v>
      </c>
      <c r="I58" s="3">
        <v>42758</v>
      </c>
      <c r="J58" s="2" t="str">
        <f>HYPERLINK("https://docs.wto.org/imrd/directdoc.asp?DDFDocuments/t/G/TBTN15/THA471R1.DOC")</f>
        <v>https://docs.wto.org/imrd/directdoc.asp?DDFDocuments/t/G/TBTN15/THA471R1.DOC</v>
      </c>
      <c r="K58" s="2" t="str">
        <f>HYPERLINK("https://docs.wto.org/imrd/directdoc.asp?DDFDocuments/u/G/TBTN15/THA471R1.DOC")</f>
        <v>https://docs.wto.org/imrd/directdoc.asp?DDFDocuments/u/G/TBTN15/THA471R1.DOC</v>
      </c>
      <c r="L58" s="2" t="str">
        <f>HYPERLINK("https://docs.wto.org/imrd/directdoc.asp?DDFDocuments/v/G/TBTN15/THA471R1.DOC")</f>
        <v>https://docs.wto.org/imrd/directdoc.asp?DDFDocuments/v/G/TBTN15/THA471R1.DOC</v>
      </c>
      <c r="M58" s="2" t="str">
        <f>HYPERLINK("http://www.epingalert.org/#/details/G/TBT/N/THA/471/Rev.1")</f>
        <v>http://www.epingalert.org/#/details/G/TBT/N/THA/471/Rev.1</v>
      </c>
      <c r="N58" s="2"/>
      <c r="O58" s="2"/>
    </row>
    <row r="59" spans="1:17" ht="180" x14ac:dyDescent="0.25">
      <c r="A59" s="2" t="s">
        <v>18</v>
      </c>
      <c r="B59" s="4" t="s">
        <v>1629</v>
      </c>
      <c r="C59" s="2" t="s">
        <v>1630</v>
      </c>
      <c r="D59" s="2" t="s">
        <v>1631</v>
      </c>
      <c r="E59" s="3">
        <v>42698</v>
      </c>
      <c r="F59" s="2" t="s">
        <v>1632</v>
      </c>
      <c r="G59" s="2" t="s">
        <v>1633</v>
      </c>
      <c r="H59" s="2" t="s">
        <v>24</v>
      </c>
      <c r="I59" s="3">
        <v>42752</v>
      </c>
      <c r="J59" s="2" t="str">
        <f>HYPERLINK("https://docs.wto.org/imrd/directdoc.asp?DDFDocuments/t/G/TBTN16/USA1225.DOC")</f>
        <v>https://docs.wto.org/imrd/directdoc.asp?DDFDocuments/t/G/TBTN16/USA1225.DOC</v>
      </c>
      <c r="K59" s="2" t="str">
        <f>HYPERLINK("https://docs.wto.org/imrd/directdoc.asp?DDFDocuments/u/G/TBTN16/USA1225.DOC")</f>
        <v>https://docs.wto.org/imrd/directdoc.asp?DDFDocuments/u/G/TBTN16/USA1225.DOC</v>
      </c>
      <c r="L59" s="2" t="str">
        <f>HYPERLINK("https://docs.wto.org/imrd/directdoc.asp?DDFDocuments/v/G/TBTN16/USA1225.DOC")</f>
        <v>https://docs.wto.org/imrd/directdoc.asp?DDFDocuments/v/G/TBTN16/USA1225.DOC</v>
      </c>
      <c r="M59" s="2" t="str">
        <f>HYPERLINK("http://www.epingalert.org/#/details/G/TBT/N/USA/1225")</f>
        <v>http://www.epingalert.org/#/details/G/TBT/N/USA/1225</v>
      </c>
      <c r="N59" s="2"/>
      <c r="O59" s="2"/>
    </row>
    <row r="60" spans="1:17" ht="75" x14ac:dyDescent="0.25">
      <c r="A60" s="2" t="s">
        <v>1129</v>
      </c>
      <c r="B60" s="4" t="s">
        <v>1634</v>
      </c>
      <c r="C60" s="2" t="s">
        <v>1635</v>
      </c>
      <c r="D60" s="2" t="s">
        <v>1636</v>
      </c>
      <c r="E60" s="3">
        <v>42698</v>
      </c>
      <c r="F60" s="2"/>
      <c r="G60" s="2" t="s">
        <v>1637</v>
      </c>
      <c r="H60" s="2" t="s">
        <v>127</v>
      </c>
      <c r="I60" s="3">
        <v>42734</v>
      </c>
      <c r="J60" s="2" t="str">
        <f>HYPERLINK("https://docs.wto.org/imrd/directdoc.asp?DDFDocuments/t/G/TBTN16/KEN509.DOC")</f>
        <v>https://docs.wto.org/imrd/directdoc.asp?DDFDocuments/t/G/TBTN16/KEN509.DOC</v>
      </c>
      <c r="K60" s="2" t="str">
        <f>HYPERLINK("https://docs.wto.org/imrd/directdoc.asp?DDFDocuments/u/G/TBTN16/KEN509.DOC")</f>
        <v>https://docs.wto.org/imrd/directdoc.asp?DDFDocuments/u/G/TBTN16/KEN509.DOC</v>
      </c>
      <c r="L60" s="2" t="str">
        <f>HYPERLINK("https://docs.wto.org/imrd/directdoc.asp?DDFDocuments/v/G/TBTN16/KEN509.DOC")</f>
        <v>https://docs.wto.org/imrd/directdoc.asp?DDFDocuments/v/G/TBTN16/KEN509.DOC</v>
      </c>
      <c r="M60" s="2" t="str">
        <f>HYPERLINK("http://www.epingalert.org/#/details/G/TBT/N/KEN/509")</f>
        <v>http://www.epingalert.org/#/details/G/TBT/N/KEN/509</v>
      </c>
      <c r="N60" s="2"/>
      <c r="O60" s="2"/>
    </row>
    <row r="61" spans="1:17" ht="75" x14ac:dyDescent="0.25">
      <c r="A61" s="2" t="s">
        <v>1129</v>
      </c>
      <c r="B61" s="4" t="s">
        <v>1867</v>
      </c>
      <c r="C61" s="2" t="s">
        <v>1868</v>
      </c>
      <c r="D61" s="2" t="s">
        <v>1869</v>
      </c>
      <c r="E61" s="3">
        <v>42698</v>
      </c>
      <c r="F61" s="2"/>
      <c r="G61" s="2" t="s">
        <v>1855</v>
      </c>
      <c r="H61" s="2" t="s">
        <v>127</v>
      </c>
      <c r="I61" s="3">
        <v>42734</v>
      </c>
      <c r="J61" s="2" t="str">
        <f>HYPERLINK("https://docs.wto.org/imrd/directdoc.asp?DDFDocuments/t/G/TBTN16/KEN516.DOC")</f>
        <v>https://docs.wto.org/imrd/directdoc.asp?DDFDocuments/t/G/TBTN16/KEN516.DOC</v>
      </c>
      <c r="K61" s="2" t="str">
        <f>HYPERLINK("https://docs.wto.org/imrd/directdoc.asp?DDFDocuments/u/G/TBTN16/KEN516.DOC")</f>
        <v>https://docs.wto.org/imrd/directdoc.asp?DDFDocuments/u/G/TBTN16/KEN516.DOC</v>
      </c>
      <c r="L61" s="2" t="str">
        <f>HYPERLINK("https://docs.wto.org/imrd/directdoc.asp?DDFDocuments/v/G/TBTN16/KEN516.DOC")</f>
        <v>https://docs.wto.org/imrd/directdoc.asp?DDFDocuments/v/G/TBTN16/KEN516.DOC</v>
      </c>
      <c r="M61" s="2" t="str">
        <f>HYPERLINK("http://www.epingalert.org/#/details/G/TBT/N/KEN/516")</f>
        <v>http://www.epingalert.org/#/details/G/TBT/N/KEN/516</v>
      </c>
      <c r="N61" s="2"/>
      <c r="O61" s="2"/>
    </row>
    <row r="62" spans="1:17" ht="75" x14ac:dyDescent="0.25">
      <c r="A62" s="2" t="s">
        <v>1129</v>
      </c>
      <c r="B62" s="4" t="s">
        <v>1870</v>
      </c>
      <c r="C62" s="2" t="s">
        <v>1871</v>
      </c>
      <c r="D62" s="2" t="s">
        <v>1872</v>
      </c>
      <c r="E62" s="3">
        <v>42698</v>
      </c>
      <c r="F62" s="2"/>
      <c r="G62" s="2" t="s">
        <v>1855</v>
      </c>
      <c r="H62" s="2" t="s">
        <v>127</v>
      </c>
      <c r="I62" s="3">
        <v>42734</v>
      </c>
      <c r="J62" s="2" t="str">
        <f>HYPERLINK("https://docs.wto.org/imrd/directdoc.asp?DDFDocuments/t/G/TBTN16/KEN514.DOC")</f>
        <v>https://docs.wto.org/imrd/directdoc.asp?DDFDocuments/t/G/TBTN16/KEN514.DOC</v>
      </c>
      <c r="K62" s="2" t="str">
        <f>HYPERLINK("https://docs.wto.org/imrd/directdoc.asp?DDFDocuments/u/G/TBTN16/KEN514.DOC")</f>
        <v>https://docs.wto.org/imrd/directdoc.asp?DDFDocuments/u/G/TBTN16/KEN514.DOC</v>
      </c>
      <c r="L62" s="2" t="str">
        <f>HYPERLINK("https://docs.wto.org/imrd/directdoc.asp?DDFDocuments/v/G/TBTN16/KEN514.DOC")</f>
        <v>https://docs.wto.org/imrd/directdoc.asp?DDFDocuments/v/G/TBTN16/KEN514.DOC</v>
      </c>
      <c r="M62" s="2" t="str">
        <f>HYPERLINK("http://www.epingalert.org/#/details/G/TBT/N/KEN/514")</f>
        <v>http://www.epingalert.org/#/details/G/TBT/N/KEN/514</v>
      </c>
      <c r="N62" s="2"/>
      <c r="O62" s="2"/>
    </row>
    <row r="63" spans="1:17" ht="60" x14ac:dyDescent="0.25">
      <c r="A63" s="2" t="s">
        <v>1129</v>
      </c>
      <c r="B63" s="4" t="s">
        <v>1873</v>
      </c>
      <c r="C63" s="2" t="s">
        <v>1874</v>
      </c>
      <c r="D63" s="2" t="s">
        <v>1875</v>
      </c>
      <c r="E63" s="3">
        <v>42698</v>
      </c>
      <c r="F63" s="2"/>
      <c r="G63" s="2" t="s">
        <v>1855</v>
      </c>
      <c r="H63" s="2" t="s">
        <v>127</v>
      </c>
      <c r="I63" s="3">
        <v>42734</v>
      </c>
      <c r="J63" s="2" t="str">
        <f>HYPERLINK("https://docs.wto.org/imrd/directdoc.asp?DDFDocuments/t/G/TBTN16/KEN513.DOC")</f>
        <v>https://docs.wto.org/imrd/directdoc.asp?DDFDocuments/t/G/TBTN16/KEN513.DOC</v>
      </c>
      <c r="K63" s="2" t="str">
        <f>HYPERLINK("https://docs.wto.org/imrd/directdoc.asp?DDFDocuments/u/G/TBTN16/KEN513.DOC")</f>
        <v>https://docs.wto.org/imrd/directdoc.asp?DDFDocuments/u/G/TBTN16/KEN513.DOC</v>
      </c>
      <c r="L63" s="2" t="str">
        <f>HYPERLINK("https://docs.wto.org/imrd/directdoc.asp?DDFDocuments/v/G/TBTN16/KEN513.DOC")</f>
        <v>https://docs.wto.org/imrd/directdoc.asp?DDFDocuments/v/G/TBTN16/KEN513.DOC</v>
      </c>
      <c r="M63" s="2" t="str">
        <f>HYPERLINK("http://www.epingalert.org/#/details/G/TBT/N/KEN/513")</f>
        <v>http://www.epingalert.org/#/details/G/TBT/N/KEN/513</v>
      </c>
      <c r="N63" s="2"/>
      <c r="O63" s="2"/>
    </row>
    <row r="64" spans="1:17" ht="90" x14ac:dyDescent="0.25">
      <c r="A64" s="2" t="s">
        <v>1129</v>
      </c>
      <c r="B64" s="4" t="s">
        <v>1876</v>
      </c>
      <c r="C64" s="2" t="s">
        <v>1877</v>
      </c>
      <c r="D64" s="2" t="s">
        <v>1878</v>
      </c>
      <c r="E64" s="3">
        <v>42698</v>
      </c>
      <c r="F64" s="2"/>
      <c r="G64" s="2" t="s">
        <v>1879</v>
      </c>
      <c r="H64" s="2" t="s">
        <v>127</v>
      </c>
      <c r="I64" s="3">
        <v>42734</v>
      </c>
      <c r="J64" s="2" t="str">
        <f>HYPERLINK("https://docs.wto.org/imrd/directdoc.asp?DDFDocuments/t/G/TBTN16/KEN512.DOC")</f>
        <v>https://docs.wto.org/imrd/directdoc.asp?DDFDocuments/t/G/TBTN16/KEN512.DOC</v>
      </c>
      <c r="K64" s="2" t="str">
        <f>HYPERLINK("https://docs.wto.org/imrd/directdoc.asp?DDFDocuments/u/G/TBTN16/KEN512.DOC")</f>
        <v>https://docs.wto.org/imrd/directdoc.asp?DDFDocuments/u/G/TBTN16/KEN512.DOC</v>
      </c>
      <c r="L64" s="2" t="str">
        <f>HYPERLINK("https://docs.wto.org/imrd/directdoc.asp?DDFDocuments/v/G/TBTN16/KEN512.DOC")</f>
        <v>https://docs.wto.org/imrd/directdoc.asp?DDFDocuments/v/G/TBTN16/KEN512.DOC</v>
      </c>
      <c r="M64" s="2" t="str">
        <f>HYPERLINK("http://www.epingalert.org/#/details/G/TBT/N/KEN/512")</f>
        <v>http://www.epingalert.org/#/details/G/TBT/N/KEN/512</v>
      </c>
      <c r="N64" s="2"/>
      <c r="O64" s="2"/>
    </row>
    <row r="65" spans="1:15" ht="90" x14ac:dyDescent="0.25">
      <c r="A65" s="2" t="s">
        <v>1129</v>
      </c>
      <c r="B65" s="4" t="s">
        <v>1880</v>
      </c>
      <c r="C65" s="2" t="s">
        <v>1881</v>
      </c>
      <c r="D65" s="2" t="s">
        <v>1882</v>
      </c>
      <c r="E65" s="3">
        <v>42696</v>
      </c>
      <c r="F65" s="2"/>
      <c r="G65" s="2" t="s">
        <v>1883</v>
      </c>
      <c r="H65" s="2" t="s">
        <v>127</v>
      </c>
      <c r="I65" s="3">
        <v>42744</v>
      </c>
      <c r="J65" s="2" t="str">
        <f>HYPERLINK("https://docs.wto.org/imrd/directdoc.asp?DDFDocuments/t/G/TBTN16/KEN499.DOC")</f>
        <v>https://docs.wto.org/imrd/directdoc.asp?DDFDocuments/t/G/TBTN16/KEN499.DOC</v>
      </c>
      <c r="K65" s="2" t="str">
        <f>HYPERLINK("https://docs.wto.org/imrd/directdoc.asp?DDFDocuments/u/G/TBTN16/KEN499.DOC")</f>
        <v>https://docs.wto.org/imrd/directdoc.asp?DDFDocuments/u/G/TBTN16/KEN499.DOC</v>
      </c>
      <c r="L65" s="2" t="str">
        <f>HYPERLINK("https://docs.wto.org/imrd/directdoc.asp?DDFDocuments/v/G/TBTN16/KEN499.DOC")</f>
        <v>https://docs.wto.org/imrd/directdoc.asp?DDFDocuments/v/G/TBTN16/KEN499.DOC</v>
      </c>
      <c r="M65" s="2" t="str">
        <f>HYPERLINK("http://www.epingalert.org/#/details/G/TBT/N/KEN/499")</f>
        <v>http://www.epingalert.org/#/details/G/TBT/N/KEN/499</v>
      </c>
      <c r="N65" s="2"/>
      <c r="O65" s="2"/>
    </row>
    <row r="66" spans="1:15" ht="105" x14ac:dyDescent="0.25">
      <c r="A66" s="2" t="s">
        <v>1129</v>
      </c>
      <c r="B66" s="4" t="s">
        <v>1884</v>
      </c>
      <c r="C66" s="2" t="s">
        <v>1885</v>
      </c>
      <c r="D66" s="2" t="s">
        <v>1886</v>
      </c>
      <c r="E66" s="3">
        <v>42696</v>
      </c>
      <c r="F66" s="2"/>
      <c r="G66" s="2" t="s">
        <v>1887</v>
      </c>
      <c r="H66" s="2" t="s">
        <v>127</v>
      </c>
      <c r="I66" s="3">
        <v>42744</v>
      </c>
      <c r="J66" s="2" t="str">
        <f>HYPERLINK("https://docs.wto.org/imrd/directdoc.asp?DDFDocuments/t/G/TBTN16/KEN498.DOC")</f>
        <v>https://docs.wto.org/imrd/directdoc.asp?DDFDocuments/t/G/TBTN16/KEN498.DOC</v>
      </c>
      <c r="K66" s="2" t="str">
        <f>HYPERLINK("https://docs.wto.org/imrd/directdoc.asp?DDFDocuments/u/G/TBTN16/KEN498.DOC")</f>
        <v>https://docs.wto.org/imrd/directdoc.asp?DDFDocuments/u/G/TBTN16/KEN498.DOC</v>
      </c>
      <c r="L66" s="2" t="str">
        <f>HYPERLINK("https://docs.wto.org/imrd/directdoc.asp?DDFDocuments/v/G/TBTN16/KEN498.DOC")</f>
        <v>https://docs.wto.org/imrd/directdoc.asp?DDFDocuments/v/G/TBTN16/KEN498.DOC</v>
      </c>
      <c r="M66" s="2" t="str">
        <f>HYPERLINK("http://www.epingalert.org/#/details/G/TBT/N/KEN/498")</f>
        <v>http://www.epingalert.org/#/details/G/TBT/N/KEN/498</v>
      </c>
      <c r="N66" s="2"/>
      <c r="O66" s="2"/>
    </row>
    <row r="67" spans="1:15" ht="75" x14ac:dyDescent="0.25">
      <c r="A67" s="2" t="s">
        <v>37</v>
      </c>
      <c r="B67" s="4" t="s">
        <v>1888</v>
      </c>
      <c r="C67" s="2" t="s">
        <v>1889</v>
      </c>
      <c r="D67" s="2" t="s">
        <v>1890</v>
      </c>
      <c r="E67" s="3">
        <v>42692</v>
      </c>
      <c r="F67" s="2" t="s">
        <v>1850</v>
      </c>
      <c r="G67" s="2" t="s">
        <v>1851</v>
      </c>
      <c r="H67" s="2" t="s">
        <v>17</v>
      </c>
      <c r="I67" s="3">
        <v>42781</v>
      </c>
      <c r="J67" s="2" t="str">
        <f>HYPERLINK("https://docs.wto.org/imrd/directdoc.asp?DDFDocuments/t/G/TBTN16/TUR86.DOC")</f>
        <v>https://docs.wto.org/imrd/directdoc.asp?DDFDocuments/t/G/TBTN16/TUR86.DOC</v>
      </c>
      <c r="K67" s="2" t="str">
        <f>HYPERLINK("https://docs.wto.org/imrd/directdoc.asp?DDFDocuments/u/G/TBTN16/TUR86.DOC")</f>
        <v>https://docs.wto.org/imrd/directdoc.asp?DDFDocuments/u/G/TBTN16/TUR86.DOC</v>
      </c>
      <c r="L67" s="2" t="str">
        <f>HYPERLINK("https://docs.wto.org/imrd/directdoc.asp?DDFDocuments/v/G/TBTN16/TUR86.DOC")</f>
        <v>https://docs.wto.org/imrd/directdoc.asp?DDFDocuments/v/G/TBTN16/TUR86.DOC</v>
      </c>
      <c r="M67" s="2" t="str">
        <f>HYPERLINK("http://www.epingalert.org/#/details/G/TBT/N/TUR/86")</f>
        <v>http://www.epingalert.org/#/details/G/TBT/N/TUR/86</v>
      </c>
      <c r="N67" s="2"/>
      <c r="O67" s="2"/>
    </row>
    <row r="68" spans="1:15" ht="210" x14ac:dyDescent="0.25">
      <c r="A68" s="2" t="s">
        <v>37</v>
      </c>
      <c r="B68" s="4" t="s">
        <v>38</v>
      </c>
      <c r="C68" s="2" t="s">
        <v>39</v>
      </c>
      <c r="D68" s="2" t="s">
        <v>40</v>
      </c>
      <c r="E68" s="3">
        <v>42692</v>
      </c>
      <c r="F68" s="2" t="s">
        <v>41</v>
      </c>
      <c r="G68" s="2"/>
      <c r="H68" s="2" t="s">
        <v>17</v>
      </c>
      <c r="I68" s="3">
        <v>42749</v>
      </c>
      <c r="J68" s="2" t="str">
        <f>HYPERLINK("https://docs.wto.org/imrd/directdoc.asp?DDFDocuments/t/G/TBTN16/TUR84.DOC")</f>
        <v>https://docs.wto.org/imrd/directdoc.asp?DDFDocuments/t/G/TBTN16/TUR84.DOC</v>
      </c>
      <c r="K68" s="2" t="str">
        <f>HYPERLINK("https://docs.wto.org/imrd/directdoc.asp?DDFDocuments/u/G/TBTN16/TUR84.DOC")</f>
        <v>https://docs.wto.org/imrd/directdoc.asp?DDFDocuments/u/G/TBTN16/TUR84.DOC</v>
      </c>
      <c r="L68" s="2" t="str">
        <f>HYPERLINK("https://docs.wto.org/imrd/directdoc.asp?DDFDocuments/v/G/TBTN16/TUR84.DOC")</f>
        <v>https://docs.wto.org/imrd/directdoc.asp?DDFDocuments/v/G/TBTN16/TUR84.DOC</v>
      </c>
      <c r="M68" s="2" t="str">
        <f>HYPERLINK("http://www.epingalert.org/#/details/G/TBT/N/TUR/84")</f>
        <v>http://www.epingalert.org/#/details/G/TBT/N/TUR/84</v>
      </c>
      <c r="N68" s="2"/>
      <c r="O68" s="2"/>
    </row>
    <row r="69" spans="1:15" ht="105" x14ac:dyDescent="0.25">
      <c r="A69" s="2" t="s">
        <v>42</v>
      </c>
      <c r="B69" s="4" t="s">
        <v>43</v>
      </c>
      <c r="C69" s="2" t="s">
        <v>44</v>
      </c>
      <c r="D69" s="2" t="s">
        <v>45</v>
      </c>
      <c r="E69" s="3">
        <v>42692</v>
      </c>
      <c r="F69" s="2" t="s">
        <v>46</v>
      </c>
      <c r="G69" s="2"/>
      <c r="H69" s="2" t="s">
        <v>17</v>
      </c>
      <c r="I69" s="3">
        <v>42719</v>
      </c>
      <c r="J69" s="2" t="str">
        <f>HYPERLINK("https://docs.wto.org/imrd/directdoc.asp?DDFDocuments/t/G/TBTN16/BRA699.DOC")</f>
        <v>https://docs.wto.org/imrd/directdoc.asp?DDFDocuments/t/G/TBTN16/BRA699.DOC</v>
      </c>
      <c r="K69" s="2" t="str">
        <f>HYPERLINK("https://docs.wto.org/imrd/directdoc.asp?DDFDocuments/u/G/TBTN16/BRA699.DOC")</f>
        <v>https://docs.wto.org/imrd/directdoc.asp?DDFDocuments/u/G/TBTN16/BRA699.DOC</v>
      </c>
      <c r="L69" s="2" t="str">
        <f>HYPERLINK("https://docs.wto.org/imrd/directdoc.asp?DDFDocuments/v/G/TBTN16/BRA699.DOC")</f>
        <v>https://docs.wto.org/imrd/directdoc.asp?DDFDocuments/v/G/TBTN16/BRA699.DOC</v>
      </c>
      <c r="M69" s="2" t="str">
        <f>HYPERLINK("http://www.epingalert.org/#/details/G/TBT/N/BRA/699")</f>
        <v>http://www.epingalert.org/#/details/G/TBT/N/BRA/699</v>
      </c>
      <c r="N69" s="2"/>
      <c r="O69" s="2"/>
    </row>
    <row r="70" spans="1:15" ht="409.5" x14ac:dyDescent="0.25">
      <c r="A70" s="2" t="s">
        <v>47</v>
      </c>
      <c r="B70" s="4" t="s">
        <v>48</v>
      </c>
      <c r="C70" s="2" t="s">
        <v>49</v>
      </c>
      <c r="D70" s="2" t="s">
        <v>50</v>
      </c>
      <c r="E70" s="3">
        <v>42689</v>
      </c>
      <c r="F70" s="2" t="s">
        <v>46</v>
      </c>
      <c r="G70" s="2" t="s">
        <v>23</v>
      </c>
      <c r="H70" s="2" t="s">
        <v>17</v>
      </c>
      <c r="I70" s="3">
        <v>42749</v>
      </c>
      <c r="J70" s="2" t="str">
        <f>HYPERLINK("https://docs.wto.org/imrd/directdoc.asp?DDFDocuments/t/G/TBTN16/ISR936.DOC")</f>
        <v>https://docs.wto.org/imrd/directdoc.asp?DDFDocuments/t/G/TBTN16/ISR936.DOC</v>
      </c>
      <c r="K70" s="2" t="str">
        <f>HYPERLINK("https://docs.wto.org/imrd/directdoc.asp?DDFDocuments/u/G/TBTN16/ISR936.DOC")</f>
        <v>https://docs.wto.org/imrd/directdoc.asp?DDFDocuments/u/G/TBTN16/ISR936.DOC</v>
      </c>
      <c r="L70" s="2" t="str">
        <f>HYPERLINK("https://docs.wto.org/imrd/directdoc.asp?DDFDocuments/v/G/TBTN16/ISR936.DOC")</f>
        <v>https://docs.wto.org/imrd/directdoc.asp?DDFDocuments/v/G/TBTN16/ISR936.DOC</v>
      </c>
      <c r="M70" s="2" t="str">
        <f>HYPERLINK("http://www.epingalert.org/#/details/G/TBT/N/ISR/936")</f>
        <v>http://www.epingalert.org/#/details/G/TBT/N/ISR/936</v>
      </c>
      <c r="N70" s="2"/>
      <c r="O70" s="2"/>
    </row>
    <row r="71" spans="1:15" ht="255" x14ac:dyDescent="0.25">
      <c r="A71" s="2" t="s">
        <v>25</v>
      </c>
      <c r="B71" s="4" t="s">
        <v>51</v>
      </c>
      <c r="C71" s="2" t="s">
        <v>52</v>
      </c>
      <c r="D71" s="2" t="s">
        <v>53</v>
      </c>
      <c r="E71" s="3">
        <v>42688</v>
      </c>
      <c r="F71" s="2" t="s">
        <v>29</v>
      </c>
      <c r="G71" s="2"/>
      <c r="H71" s="2" t="s">
        <v>54</v>
      </c>
      <c r="I71" s="3">
        <v>42748</v>
      </c>
      <c r="J71" s="2" t="str">
        <f>HYPERLINK("https://docs.wto.org/imrd/directdoc.asp?DDFDocuments/t/G/TBTN16/KOR691.DOC")</f>
        <v>https://docs.wto.org/imrd/directdoc.asp?DDFDocuments/t/G/TBTN16/KOR691.DOC</v>
      </c>
      <c r="K71" s="2" t="str">
        <f>HYPERLINK("https://docs.wto.org/imrd/directdoc.asp?DDFDocuments/u/G/TBTN16/KOR691.DOC")</f>
        <v>https://docs.wto.org/imrd/directdoc.asp?DDFDocuments/u/G/TBTN16/KOR691.DOC</v>
      </c>
      <c r="L71" s="2" t="str">
        <f>HYPERLINK("https://docs.wto.org/imrd/directdoc.asp?DDFDocuments/v/G/TBTN16/KOR691.DOC")</f>
        <v>https://docs.wto.org/imrd/directdoc.asp?DDFDocuments/v/G/TBTN16/KOR691.DOC</v>
      </c>
      <c r="M71" s="2" t="str">
        <f>HYPERLINK("http://www.epingalert.org/#/details/G/TBT/N/KOR/691")</f>
        <v>http://www.epingalert.org/#/details/G/TBT/N/KOR/691</v>
      </c>
      <c r="N71" s="2"/>
      <c r="O71" s="2"/>
    </row>
    <row r="72" spans="1:15" ht="330" x14ac:dyDescent="0.25">
      <c r="A72" s="2" t="s">
        <v>25</v>
      </c>
      <c r="B72" s="4" t="s">
        <v>55</v>
      </c>
      <c r="C72" s="2" t="s">
        <v>56</v>
      </c>
      <c r="D72" s="2" t="s">
        <v>57</v>
      </c>
      <c r="E72" s="3">
        <v>42685</v>
      </c>
      <c r="F72" s="2" t="s">
        <v>46</v>
      </c>
      <c r="G72" s="2"/>
      <c r="H72" s="2" t="s">
        <v>58</v>
      </c>
      <c r="I72" s="3">
        <v>42745</v>
      </c>
      <c r="J72" s="2" t="str">
        <f>HYPERLINK("https://docs.wto.org/imrd/directdoc.asp?DDFDocuments/t/G/TBTN16/KOR690.DOC")</f>
        <v>https://docs.wto.org/imrd/directdoc.asp?DDFDocuments/t/G/TBTN16/KOR690.DOC</v>
      </c>
      <c r="K72" s="2" t="str">
        <f>HYPERLINK("https://docs.wto.org/imrd/directdoc.asp?DDFDocuments/u/G/TBTN16/KOR690.DOC")</f>
        <v>https://docs.wto.org/imrd/directdoc.asp?DDFDocuments/u/G/TBTN16/KOR690.DOC</v>
      </c>
      <c r="L72" s="2" t="str">
        <f>HYPERLINK("https://docs.wto.org/imrd/directdoc.asp?DDFDocuments/v/G/TBTN16/KOR690.DOC")</f>
        <v>https://docs.wto.org/imrd/directdoc.asp?DDFDocuments/v/G/TBTN16/KOR690.DOC</v>
      </c>
      <c r="M72" s="2" t="str">
        <f>HYPERLINK("http://www.epingalert.org/#/details/G/TBT/N/KOR/690")</f>
        <v>http://www.epingalert.org/#/details/G/TBT/N/KOR/690</v>
      </c>
      <c r="N72" s="2"/>
      <c r="O72" s="2"/>
    </row>
    <row r="73" spans="1:15" ht="120" x14ac:dyDescent="0.25">
      <c r="A73" s="2" t="s">
        <v>37</v>
      </c>
      <c r="B73" s="4" t="s">
        <v>59</v>
      </c>
      <c r="C73" s="2" t="s">
        <v>60</v>
      </c>
      <c r="D73" s="2" t="s">
        <v>61</v>
      </c>
      <c r="E73" s="3">
        <v>42678</v>
      </c>
      <c r="F73" s="2" t="s">
        <v>62</v>
      </c>
      <c r="G73" s="2"/>
      <c r="H73" s="2" t="s">
        <v>17</v>
      </c>
      <c r="I73" s="3">
        <v>42737</v>
      </c>
      <c r="J73" s="2" t="str">
        <f>HYPERLINK("https://docs.wto.org/imrd/directdoc.asp?DDFDocuments/t/G/TBTN16/TUR83.DOC")</f>
        <v>https://docs.wto.org/imrd/directdoc.asp?DDFDocuments/t/G/TBTN16/TUR83.DOC</v>
      </c>
      <c r="K73" s="2" t="str">
        <f>HYPERLINK("https://docs.wto.org/imrd/directdoc.asp?DDFDocuments/u/G/TBTN16/TUR83.DOC")</f>
        <v>https://docs.wto.org/imrd/directdoc.asp?DDFDocuments/u/G/TBTN16/TUR83.DOC</v>
      </c>
      <c r="L73" s="2" t="str">
        <f>HYPERLINK("https://docs.wto.org/imrd/directdoc.asp?DDFDocuments/v/G/TBTN16/TUR83.DOC")</f>
        <v>https://docs.wto.org/imrd/directdoc.asp?DDFDocuments/v/G/TBTN16/TUR83.DOC</v>
      </c>
      <c r="M73" s="2" t="str">
        <f>HYPERLINK("http://www.epingalert.org/#/details/G/TBT/N/TUR/83")</f>
        <v>http://www.epingalert.org/#/details/G/TBT/N/TUR/83</v>
      </c>
      <c r="N73" s="2"/>
      <c r="O73" s="2"/>
    </row>
    <row r="74" spans="1:15" ht="120" x14ac:dyDescent="0.25">
      <c r="A74" s="2" t="s">
        <v>312</v>
      </c>
      <c r="B74" s="4" t="s">
        <v>1638</v>
      </c>
      <c r="C74" s="2" t="s">
        <v>1639</v>
      </c>
      <c r="D74" s="2" t="s">
        <v>1640</v>
      </c>
      <c r="E74" s="3">
        <v>42676</v>
      </c>
      <c r="F74" s="2" t="s">
        <v>1641</v>
      </c>
      <c r="G74" s="2" t="s">
        <v>36</v>
      </c>
      <c r="H74" s="2" t="s">
        <v>198</v>
      </c>
      <c r="I74" s="3">
        <v>42739</v>
      </c>
      <c r="J74" s="2" t="str">
        <f>HYPERLINK("https://docs.wto.org/imrd/directdoc.asp?DDFDocuments/t/G/TBTN16/UGA593.DOC")</f>
        <v>https://docs.wto.org/imrd/directdoc.asp?DDFDocuments/t/G/TBTN16/UGA593.DOC</v>
      </c>
      <c r="K74" s="2" t="str">
        <f>HYPERLINK("https://docs.wto.org/imrd/directdoc.asp?DDFDocuments/u/G/TBTN16/UGA593.DOC")</f>
        <v>https://docs.wto.org/imrd/directdoc.asp?DDFDocuments/u/G/TBTN16/UGA593.DOC</v>
      </c>
      <c r="L74" s="2" t="str">
        <f>HYPERLINK("https://docs.wto.org/imrd/directdoc.asp?DDFDocuments/v/G/TBTN16/UGA593.DOC")</f>
        <v>https://docs.wto.org/imrd/directdoc.asp?DDFDocuments/v/G/TBTN16/UGA593.DOC</v>
      </c>
      <c r="M74" s="2" t="str">
        <f>HYPERLINK("http://www.epingalert.org/#/details/G/TBT/N/UGA/593")</f>
        <v>http://www.epingalert.org/#/details/G/TBT/N/UGA/593</v>
      </c>
      <c r="N74" s="2"/>
      <c r="O74" s="2"/>
    </row>
    <row r="75" spans="1:15" ht="409.5" x14ac:dyDescent="0.25">
      <c r="A75" s="2" t="s">
        <v>25</v>
      </c>
      <c r="B75" s="4" t="s">
        <v>63</v>
      </c>
      <c r="C75" s="2" t="s">
        <v>64</v>
      </c>
      <c r="D75" s="2" t="s">
        <v>65</v>
      </c>
      <c r="E75" s="3">
        <v>42675</v>
      </c>
      <c r="F75" s="2" t="s">
        <v>29</v>
      </c>
      <c r="G75" s="2"/>
      <c r="H75" s="2" t="s">
        <v>58</v>
      </c>
      <c r="I75" s="3">
        <v>42735</v>
      </c>
      <c r="J75" s="2" t="str">
        <f>HYPERLINK("https://docs.wto.org/imrd/directdoc.asp?DDFDocuments/t/G/TBTN16/KOR686.DOC")</f>
        <v>https://docs.wto.org/imrd/directdoc.asp?DDFDocuments/t/G/TBTN16/KOR686.DOC</v>
      </c>
      <c r="K75" s="2" t="str">
        <f>HYPERLINK("https://docs.wto.org/imrd/directdoc.asp?DDFDocuments/u/G/TBTN16/KOR686.DOC")</f>
        <v>https://docs.wto.org/imrd/directdoc.asp?DDFDocuments/u/G/TBTN16/KOR686.DOC</v>
      </c>
      <c r="L75" s="2" t="str">
        <f>HYPERLINK("https://docs.wto.org/imrd/directdoc.asp?DDFDocuments/v/G/TBTN16/KOR686.DOC")</f>
        <v>https://docs.wto.org/imrd/directdoc.asp?DDFDocuments/v/G/TBTN16/KOR686.DOC</v>
      </c>
      <c r="M75" s="2" t="str">
        <f>HYPERLINK("http://www.epingalert.org/#/details/G/TBT/N/KOR/686")</f>
        <v>http://www.epingalert.org/#/details/G/TBT/N/KOR/686</v>
      </c>
      <c r="N75" s="2"/>
      <c r="O75" s="2"/>
    </row>
    <row r="76" spans="1:15" ht="60" x14ac:dyDescent="0.25">
      <c r="A76" s="2" t="s">
        <v>170</v>
      </c>
      <c r="B76" s="4" t="s">
        <v>1475</v>
      </c>
      <c r="C76" s="2" t="s">
        <v>1476</v>
      </c>
      <c r="D76" s="2"/>
      <c r="E76" s="3">
        <v>42670</v>
      </c>
      <c r="F76" s="2"/>
      <c r="G76" s="2" t="s">
        <v>1477</v>
      </c>
      <c r="H76" s="2" t="s">
        <v>127</v>
      </c>
      <c r="I76" s="3">
        <v>42730</v>
      </c>
      <c r="J76" s="2" t="str">
        <f>HYPERLINK("https://docs.wto.org/imrd/directdoc.asp?DDFDocuments/t/G/TBTN16/SLV186.DOC")</f>
        <v>https://docs.wto.org/imrd/directdoc.asp?DDFDocuments/t/G/TBTN16/SLV186.DOC</v>
      </c>
      <c r="K76" s="2" t="str">
        <f>HYPERLINK("https://docs.wto.org/imrd/directdoc.asp?DDFDocuments/u/G/TBTN16/SLV186.DOC")</f>
        <v>https://docs.wto.org/imrd/directdoc.asp?DDFDocuments/u/G/TBTN16/SLV186.DOC</v>
      </c>
      <c r="L76" s="2" t="str">
        <f>HYPERLINK("https://docs.wto.org/imrd/directdoc.asp?DDFDocuments/v/G/TBTN16/SLV186.DOC")</f>
        <v>https://docs.wto.org/imrd/directdoc.asp?DDFDocuments/v/G/TBTN16/SLV186.DOC</v>
      </c>
      <c r="M76" s="2" t="str">
        <f>HYPERLINK("http://www.epingalert.org/#/details/G/TBT/N/SLV/186")</f>
        <v>http://www.epingalert.org/#/details/G/TBT/N/SLV/186</v>
      </c>
      <c r="N76" s="2"/>
      <c r="O76" s="2"/>
    </row>
    <row r="77" spans="1:15" ht="105" x14ac:dyDescent="0.25">
      <c r="A77" s="2" t="s">
        <v>37</v>
      </c>
      <c r="B77" s="4" t="s">
        <v>1478</v>
      </c>
      <c r="C77" s="2" t="s">
        <v>1479</v>
      </c>
      <c r="D77" s="2" t="s">
        <v>1480</v>
      </c>
      <c r="E77" s="3">
        <v>42670</v>
      </c>
      <c r="F77" s="2" t="s">
        <v>1481</v>
      </c>
      <c r="G77" s="2"/>
      <c r="H77" s="2" t="s">
        <v>17</v>
      </c>
      <c r="I77" s="3">
        <v>42730</v>
      </c>
      <c r="J77" s="2" t="str">
        <f>HYPERLINK("https://docs.wto.org/imrd/directdoc.asp?DDFDocuments/t/G/TBTN16/TUR82.DOC")</f>
        <v>https://docs.wto.org/imrd/directdoc.asp?DDFDocuments/t/G/TBTN16/TUR82.DOC</v>
      </c>
      <c r="K77" s="2" t="str">
        <f>HYPERLINK("https://docs.wto.org/imrd/directdoc.asp?DDFDocuments/u/G/TBTN16/TUR82.DOC")</f>
        <v>https://docs.wto.org/imrd/directdoc.asp?DDFDocuments/u/G/TBTN16/TUR82.DOC</v>
      </c>
      <c r="L77" s="2" t="str">
        <f>HYPERLINK("https://docs.wto.org/imrd/directdoc.asp?DDFDocuments/v/G/TBTN16/TUR82.DOC")</f>
        <v>https://docs.wto.org/imrd/directdoc.asp?DDFDocuments/v/G/TBTN16/TUR82.DOC</v>
      </c>
      <c r="M77" s="2" t="str">
        <f>HYPERLINK("http://www.epingalert.org/#/details/G/TBT/N/TUR/82")</f>
        <v>http://www.epingalert.org/#/details/G/TBT/N/TUR/82</v>
      </c>
      <c r="N77" s="2"/>
      <c r="O77" s="2"/>
    </row>
    <row r="78" spans="1:15" ht="165" x14ac:dyDescent="0.25">
      <c r="A78" s="2" t="s">
        <v>12</v>
      </c>
      <c r="B78" s="4" t="s">
        <v>66</v>
      </c>
      <c r="C78" s="2" t="s">
        <v>67</v>
      </c>
      <c r="D78" s="2" t="s">
        <v>68</v>
      </c>
      <c r="E78" s="3">
        <v>42669</v>
      </c>
      <c r="F78" s="2" t="s">
        <v>69</v>
      </c>
      <c r="G78" s="2"/>
      <c r="H78" s="2" t="s">
        <v>70</v>
      </c>
      <c r="I78" s="3">
        <v>42729</v>
      </c>
      <c r="J78" s="2" t="str">
        <f>HYPERLINK("https://docs.wto.org/imrd/directdoc.asp?DDFDocuments/t/G/TBTN16/EU417.DOC")</f>
        <v>https://docs.wto.org/imrd/directdoc.asp?DDFDocuments/t/G/TBTN16/EU417.DOC</v>
      </c>
      <c r="K78" s="2" t="str">
        <f>HYPERLINK("https://docs.wto.org/imrd/directdoc.asp?DDFDocuments/u/G/TBTN16/EU417.DOC")</f>
        <v>https://docs.wto.org/imrd/directdoc.asp?DDFDocuments/u/G/TBTN16/EU417.DOC</v>
      </c>
      <c r="L78" s="2" t="str">
        <f>HYPERLINK("https://docs.wto.org/imrd/directdoc.asp?DDFDocuments/v/G/TBTN16/EU417.DOC")</f>
        <v>https://docs.wto.org/imrd/directdoc.asp?DDFDocuments/v/G/TBTN16/EU417.DOC</v>
      </c>
      <c r="M78" s="2" t="str">
        <f>HYPERLINK("http://www.epingalert.org/#/details/G/TBT/N/EU/417")</f>
        <v>http://www.epingalert.org/#/details/G/TBT/N/EU/417</v>
      </c>
      <c r="N78" s="2"/>
      <c r="O78" s="2"/>
    </row>
    <row r="79" spans="1:15" ht="60" x14ac:dyDescent="0.25">
      <c r="A79" s="2" t="s">
        <v>771</v>
      </c>
      <c r="B79" s="4" t="s">
        <v>1891</v>
      </c>
      <c r="C79" s="2" t="s">
        <v>1892</v>
      </c>
      <c r="D79" s="2" t="s">
        <v>1893</v>
      </c>
      <c r="E79" s="3">
        <v>42669</v>
      </c>
      <c r="F79" s="2" t="s">
        <v>1894</v>
      </c>
      <c r="G79" s="2" t="s">
        <v>1895</v>
      </c>
      <c r="H79" s="2" t="s">
        <v>17</v>
      </c>
      <c r="I79" s="3">
        <v>42729</v>
      </c>
      <c r="J79" s="2" t="str">
        <f>HYPERLINK("https://docs.wto.org/imrd/directdoc.asp?DDFDocuments/t/G/TBTN16/PAK110.DOC")</f>
        <v>https://docs.wto.org/imrd/directdoc.asp?DDFDocuments/t/G/TBTN16/PAK110.DOC</v>
      </c>
      <c r="K79" s="2" t="str">
        <f>HYPERLINK("https://docs.wto.org/imrd/directdoc.asp?DDFDocuments/u/G/TBTN16/PAK110.DOC")</f>
        <v>https://docs.wto.org/imrd/directdoc.asp?DDFDocuments/u/G/TBTN16/PAK110.DOC</v>
      </c>
      <c r="L79" s="2" t="str">
        <f>HYPERLINK("https://docs.wto.org/imrd/directdoc.asp?DDFDocuments/v/G/TBTN16/PAK110.DOC")</f>
        <v>https://docs.wto.org/imrd/directdoc.asp?DDFDocuments/v/G/TBTN16/PAK110.DOC</v>
      </c>
      <c r="M79" s="2" t="str">
        <f>HYPERLINK("http://www.epingalert.org/#/details/G/TBT/N/PAK/110")</f>
        <v>http://www.epingalert.org/#/details/G/TBT/N/PAK/110</v>
      </c>
      <c r="N79" s="2"/>
      <c r="O79" s="2"/>
    </row>
    <row r="80" spans="1:15" ht="60" x14ac:dyDescent="0.25">
      <c r="A80" s="2" t="s">
        <v>37</v>
      </c>
      <c r="B80" s="4" t="s">
        <v>1896</v>
      </c>
      <c r="C80" s="2" t="s">
        <v>1897</v>
      </c>
      <c r="D80" s="2" t="s">
        <v>1898</v>
      </c>
      <c r="E80" s="3">
        <v>42664</v>
      </c>
      <c r="F80" s="2" t="s">
        <v>1899</v>
      </c>
      <c r="G80" s="2" t="s">
        <v>1900</v>
      </c>
      <c r="H80" s="2" t="s">
        <v>1901</v>
      </c>
      <c r="I80" s="3">
        <v>42724</v>
      </c>
      <c r="J80" s="2" t="str">
        <f>HYPERLINK("https://docs.wto.org/imrd/directdoc.asp?DDFDocuments/t/G/TBTN16/TUR81.DOC")</f>
        <v>https://docs.wto.org/imrd/directdoc.asp?DDFDocuments/t/G/TBTN16/TUR81.DOC</v>
      </c>
      <c r="K80" s="2" t="str">
        <f>HYPERLINK("https://docs.wto.org/imrd/directdoc.asp?DDFDocuments/u/G/TBTN16/TUR81.DOC")</f>
        <v>https://docs.wto.org/imrd/directdoc.asp?DDFDocuments/u/G/TBTN16/TUR81.DOC</v>
      </c>
      <c r="L80" s="2" t="str">
        <f>HYPERLINK("https://docs.wto.org/imrd/directdoc.asp?DDFDocuments/v/G/TBTN16/TUR81.DOC")</f>
        <v>https://docs.wto.org/imrd/directdoc.asp?DDFDocuments/v/G/TBTN16/TUR81.DOC</v>
      </c>
      <c r="M80" s="2" t="str">
        <f>HYPERLINK("http://www.epingalert.org/#/details/G/TBT/N/TUR/81")</f>
        <v>http://www.epingalert.org/#/details/G/TBT/N/TUR/81</v>
      </c>
      <c r="N80" s="2"/>
      <c r="O80" s="2"/>
    </row>
    <row r="81" spans="1:15" ht="60" x14ac:dyDescent="0.25">
      <c r="A81" s="2" t="s">
        <v>71</v>
      </c>
      <c r="B81" s="4" t="s">
        <v>72</v>
      </c>
      <c r="C81" s="2" t="s">
        <v>73</v>
      </c>
      <c r="D81" s="2" t="s">
        <v>74</v>
      </c>
      <c r="E81" s="3">
        <v>42664</v>
      </c>
      <c r="F81" s="2" t="s">
        <v>75</v>
      </c>
      <c r="G81" s="2" t="s">
        <v>76</v>
      </c>
      <c r="H81" s="2" t="s">
        <v>24</v>
      </c>
      <c r="I81" s="3">
        <v>42718</v>
      </c>
      <c r="J81" s="2" t="str">
        <f>HYPERLINK("https://docs.wto.org/imrd/directdoc.asp?DDFDocuments/t/G/TBTN16/SVN100.DOC")</f>
        <v>https://docs.wto.org/imrd/directdoc.asp?DDFDocuments/t/G/TBTN16/SVN100.DOC</v>
      </c>
      <c r="K81" s="2" t="str">
        <f>HYPERLINK("https://docs.wto.org/imrd/directdoc.asp?DDFDocuments/u/G/TBTN16/SVN100.DOC")</f>
        <v>https://docs.wto.org/imrd/directdoc.asp?DDFDocuments/u/G/TBTN16/SVN100.DOC</v>
      </c>
      <c r="L81" s="2" t="str">
        <f>HYPERLINK("https://docs.wto.org/imrd/directdoc.asp?DDFDocuments/v/G/TBTN16/SVN100.DOC")</f>
        <v>https://docs.wto.org/imrd/directdoc.asp?DDFDocuments/v/G/TBTN16/SVN100.DOC</v>
      </c>
      <c r="M81" s="2" t="str">
        <f>HYPERLINK("http://www.epingalert.org/#/details/G/TBT/N/SVN/100")</f>
        <v>http://www.epingalert.org/#/details/G/TBT/N/SVN/100</v>
      </c>
      <c r="N81" s="2"/>
      <c r="O81" s="2"/>
    </row>
    <row r="82" spans="1:15" ht="300" x14ac:dyDescent="0.25">
      <c r="A82" s="2" t="s">
        <v>77</v>
      </c>
      <c r="B82" s="4" t="s">
        <v>78</v>
      </c>
      <c r="C82" s="2" t="s">
        <v>79</v>
      </c>
      <c r="D82" s="2" t="s">
        <v>80</v>
      </c>
      <c r="E82" s="3">
        <v>42663</v>
      </c>
      <c r="F82" s="2" t="s">
        <v>81</v>
      </c>
      <c r="G82" s="2"/>
      <c r="H82" s="2" t="s">
        <v>82</v>
      </c>
      <c r="I82" s="3">
        <v>42723</v>
      </c>
      <c r="J82" s="2" t="str">
        <f>HYPERLINK("https://docs.wto.org/imrd/directdoc.asp?DDFDocuments/t/G/TBTN16/TPKM251.DOC")</f>
        <v>https://docs.wto.org/imrd/directdoc.asp?DDFDocuments/t/G/TBTN16/TPKM251.DOC</v>
      </c>
      <c r="K82" s="2" t="str">
        <f>HYPERLINK("https://docs.wto.org/imrd/directdoc.asp?DDFDocuments/u/G/TBTN16/TPKM251.DOC")</f>
        <v>https://docs.wto.org/imrd/directdoc.asp?DDFDocuments/u/G/TBTN16/TPKM251.DOC</v>
      </c>
      <c r="L82" s="2" t="str">
        <f>HYPERLINK("https://docs.wto.org/imrd/directdoc.asp?DDFDocuments/v/G/TBTN16/TPKM251.DOC")</f>
        <v>https://docs.wto.org/imrd/directdoc.asp?DDFDocuments/v/G/TBTN16/TPKM251.DOC</v>
      </c>
      <c r="M82" s="2" t="str">
        <f>HYPERLINK("http://www.epingalert.org/#/details/G/TBT/N/TPKM/251")</f>
        <v>http://www.epingalert.org/#/details/G/TBT/N/TPKM/251</v>
      </c>
      <c r="N82" s="2"/>
      <c r="O82" s="2"/>
    </row>
    <row r="83" spans="1:15" ht="409.5" x14ac:dyDescent="0.25">
      <c r="A83" s="2" t="s">
        <v>1482</v>
      </c>
      <c r="B83" s="4" t="s">
        <v>1483</v>
      </c>
      <c r="C83" s="2" t="s">
        <v>1484</v>
      </c>
      <c r="D83" s="2" t="s">
        <v>1485</v>
      </c>
      <c r="E83" s="3">
        <v>42663</v>
      </c>
      <c r="F83" s="2" t="s">
        <v>1486</v>
      </c>
      <c r="G83" s="2" t="s">
        <v>1487</v>
      </c>
      <c r="H83" s="2" t="s">
        <v>17</v>
      </c>
      <c r="I83" s="3">
        <v>42723</v>
      </c>
      <c r="J83" s="2" t="str">
        <f>HYPERLINK("https://docs.wto.org/imrd/directdoc.asp?DDFDocuments/t/G/TBTN16/CZE200.DOC")</f>
        <v>https://docs.wto.org/imrd/directdoc.asp?DDFDocuments/t/G/TBTN16/CZE200.DOC</v>
      </c>
      <c r="K83" s="2" t="str">
        <f>HYPERLINK("https://docs.wto.org/imrd/directdoc.asp?DDFDocuments/u/G/TBTN16/CZE200.DOC")</f>
        <v>https://docs.wto.org/imrd/directdoc.asp?DDFDocuments/u/G/TBTN16/CZE200.DOC</v>
      </c>
      <c r="L83" s="2" t="str">
        <f>HYPERLINK("https://docs.wto.org/imrd/directdoc.asp?DDFDocuments/v/G/TBTN16/CZE200.DOC")</f>
        <v>https://docs.wto.org/imrd/directdoc.asp?DDFDocuments/v/G/TBTN16/CZE200.DOC</v>
      </c>
      <c r="M83" s="2" t="str">
        <f>HYPERLINK("http://www.epingalert.org/#/details/G/TBT/N/CZE/200")</f>
        <v>http://www.epingalert.org/#/details/G/TBT/N/CZE/200</v>
      </c>
      <c r="N83" s="2"/>
      <c r="O83" s="2"/>
    </row>
    <row r="84" spans="1:15" ht="90" x14ac:dyDescent="0.25">
      <c r="A84" s="2" t="s">
        <v>1902</v>
      </c>
      <c r="B84" s="4" t="s">
        <v>1903</v>
      </c>
      <c r="C84" s="2" t="s">
        <v>1904</v>
      </c>
      <c r="D84" s="2" t="s">
        <v>1905</v>
      </c>
      <c r="E84" s="3">
        <v>42662</v>
      </c>
      <c r="F84" s="2" t="s">
        <v>1906</v>
      </c>
      <c r="G84" s="2" t="s">
        <v>1907</v>
      </c>
      <c r="H84" s="2" t="s">
        <v>1006</v>
      </c>
      <c r="I84" s="2"/>
      <c r="J84" s="2" t="str">
        <f>HYPERLINK("https://docs.wto.org/imrd/directdoc.asp?DDFDocuments/t/G/TBTN16/ARG308.DOC")</f>
        <v>https://docs.wto.org/imrd/directdoc.asp?DDFDocuments/t/G/TBTN16/ARG308.DOC</v>
      </c>
      <c r="K84" s="2" t="str">
        <f>HYPERLINK("https://docs.wto.org/imrd/directdoc.asp?DDFDocuments/u/G/TBTN16/ARG308.DOC")</f>
        <v>https://docs.wto.org/imrd/directdoc.asp?DDFDocuments/u/G/TBTN16/ARG308.DOC</v>
      </c>
      <c r="L84" s="2" t="str">
        <f>HYPERLINK("https://docs.wto.org/imrd/directdoc.asp?DDFDocuments/v/G/TBTN16/ARG308.DOC")</f>
        <v>https://docs.wto.org/imrd/directdoc.asp?DDFDocuments/v/G/TBTN16/ARG308.DOC</v>
      </c>
      <c r="M84" s="2" t="str">
        <f>HYPERLINK("http://www.epingalert.org/#/details/G/TBT/N/ARG/308")</f>
        <v>http://www.epingalert.org/#/details/G/TBT/N/ARG/308</v>
      </c>
      <c r="N84" s="2"/>
      <c r="O84" s="2"/>
    </row>
    <row r="85" spans="1:15" ht="135" x14ac:dyDescent="0.25">
      <c r="A85" s="2" t="s">
        <v>12</v>
      </c>
      <c r="B85" s="4" t="s">
        <v>83</v>
      </c>
      <c r="C85" s="2" t="s">
        <v>84</v>
      </c>
      <c r="D85" s="2" t="s">
        <v>85</v>
      </c>
      <c r="E85" s="3">
        <v>42660</v>
      </c>
      <c r="F85" s="2" t="s">
        <v>86</v>
      </c>
      <c r="G85" s="2"/>
      <c r="H85" s="2" t="s">
        <v>17</v>
      </c>
      <c r="I85" s="3">
        <v>42720</v>
      </c>
      <c r="J85" s="2" t="str">
        <f>HYPERLINK("https://docs.wto.org/imrd/directdoc.asp?DDFDocuments/t/G/TBTN16/EU413.DOC")</f>
        <v>https://docs.wto.org/imrd/directdoc.asp?DDFDocuments/t/G/TBTN16/EU413.DOC</v>
      </c>
      <c r="K85" s="2" t="str">
        <f>HYPERLINK("https://docs.wto.org/imrd/directdoc.asp?DDFDocuments/u/G/TBTN16/EU413.DOC")</f>
        <v>https://docs.wto.org/imrd/directdoc.asp?DDFDocuments/u/G/TBTN16/EU413.DOC</v>
      </c>
      <c r="L85" s="2" t="str">
        <f>HYPERLINK("https://docs.wto.org/imrd/directdoc.asp?DDFDocuments/v/G/TBTN16/EU413.DOC")</f>
        <v>https://docs.wto.org/imrd/directdoc.asp?DDFDocuments/v/G/TBTN16/EU413.DOC</v>
      </c>
      <c r="M85" s="2" t="str">
        <f>HYPERLINK("http://www.epingalert.org/#/details/G/TBT/N/EU/413")</f>
        <v>http://www.epingalert.org/#/details/G/TBT/N/EU/413</v>
      </c>
      <c r="N85" s="2"/>
      <c r="O85" s="2"/>
    </row>
    <row r="86" spans="1:15" ht="135" x14ac:dyDescent="0.25">
      <c r="A86" s="2" t="s">
        <v>12</v>
      </c>
      <c r="B86" s="4" t="s">
        <v>87</v>
      </c>
      <c r="C86" s="2" t="s">
        <v>88</v>
      </c>
      <c r="D86" s="2" t="s">
        <v>89</v>
      </c>
      <c r="E86" s="3">
        <v>42657</v>
      </c>
      <c r="F86" s="2" t="s">
        <v>86</v>
      </c>
      <c r="G86" s="2"/>
      <c r="H86" s="2" t="s">
        <v>17</v>
      </c>
      <c r="I86" s="3">
        <v>42717</v>
      </c>
      <c r="J86" s="2" t="str">
        <f>HYPERLINK("https://docs.wto.org/imrd/directdoc.asp?DDFDocuments/t/G/TBTN16/EU412.DOC")</f>
        <v>https://docs.wto.org/imrd/directdoc.asp?DDFDocuments/t/G/TBTN16/EU412.DOC</v>
      </c>
      <c r="K86" s="2" t="str">
        <f>HYPERLINK("https://docs.wto.org/imrd/directdoc.asp?DDFDocuments/u/G/TBTN16/EU412.DOC")</f>
        <v>https://docs.wto.org/imrd/directdoc.asp?DDFDocuments/u/G/TBTN16/EU412.DOC</v>
      </c>
      <c r="L86" s="2" t="str">
        <f>HYPERLINK("https://docs.wto.org/imrd/directdoc.asp?DDFDocuments/v/G/TBTN16/EU412.DOC")</f>
        <v>https://docs.wto.org/imrd/directdoc.asp?DDFDocuments/v/G/TBTN16/EU412.DOC</v>
      </c>
      <c r="M86" s="2" t="str">
        <f>HYPERLINK("http://www.epingalert.org/#/details/G/TBT/N/EU/412")</f>
        <v>http://www.epingalert.org/#/details/G/TBT/N/EU/412</v>
      </c>
      <c r="N86" s="2"/>
      <c r="O86" s="2"/>
    </row>
    <row r="87" spans="1:15" ht="60" x14ac:dyDescent="0.25">
      <c r="A87" s="2" t="s">
        <v>37</v>
      </c>
      <c r="B87" s="4" t="s">
        <v>94</v>
      </c>
      <c r="C87" s="2" t="s">
        <v>95</v>
      </c>
      <c r="D87" s="2" t="s">
        <v>96</v>
      </c>
      <c r="E87" s="3">
        <v>42655</v>
      </c>
      <c r="F87" s="2" t="s">
        <v>97</v>
      </c>
      <c r="G87" s="2"/>
      <c r="H87" s="2" t="s">
        <v>17</v>
      </c>
      <c r="I87" s="3">
        <v>42718</v>
      </c>
      <c r="J87" s="2" t="str">
        <f>HYPERLINK("https://docs.wto.org/imrd/directdoc.asp?DDFDocuments/t/G/TBTN16/TUR79.DOC")</f>
        <v>https://docs.wto.org/imrd/directdoc.asp?DDFDocuments/t/G/TBTN16/TUR79.DOC</v>
      </c>
      <c r="K87" s="2" t="str">
        <f>HYPERLINK("https://docs.wto.org/imrd/directdoc.asp?DDFDocuments/u/G/TBTN16/TUR79.DOC")</f>
        <v>https://docs.wto.org/imrd/directdoc.asp?DDFDocuments/u/G/TBTN16/TUR79.DOC</v>
      </c>
      <c r="L87" s="2" t="str">
        <f>HYPERLINK("https://docs.wto.org/imrd/directdoc.asp?DDFDocuments/v/G/TBTN16/TUR79.DOC")</f>
        <v>https://docs.wto.org/imrd/directdoc.asp?DDFDocuments/v/G/TBTN16/TUR79.DOC</v>
      </c>
      <c r="M87" s="2" t="str">
        <f>HYPERLINK("http://www.epingalert.org/#/details/G/TBT/N/TUR/79")</f>
        <v>http://www.epingalert.org/#/details/G/TBT/N/TUR/79</v>
      </c>
      <c r="N87" s="2"/>
      <c r="O87" s="2"/>
    </row>
    <row r="88" spans="1:15" ht="225" x14ac:dyDescent="0.25">
      <c r="A88" s="2" t="s">
        <v>25</v>
      </c>
      <c r="B88" s="4" t="s">
        <v>90</v>
      </c>
      <c r="C88" s="2" t="s">
        <v>91</v>
      </c>
      <c r="D88" s="2" t="s">
        <v>92</v>
      </c>
      <c r="E88" s="3">
        <v>42655</v>
      </c>
      <c r="F88" s="2" t="s">
        <v>93</v>
      </c>
      <c r="G88" s="2"/>
      <c r="H88" s="2" t="s">
        <v>17</v>
      </c>
      <c r="I88" s="3">
        <v>42715</v>
      </c>
      <c r="J88" s="2" t="str">
        <f>HYPERLINK("https://docs.wto.org/imrd/directdoc.asp?DDFDocuments/t/G/TBTN16/KOR682.DOC")</f>
        <v>https://docs.wto.org/imrd/directdoc.asp?DDFDocuments/t/G/TBTN16/KOR682.DOC</v>
      </c>
      <c r="K88" s="2" t="str">
        <f>HYPERLINK("https://docs.wto.org/imrd/directdoc.asp?DDFDocuments/u/G/TBTN16/KOR682.DOC")</f>
        <v>https://docs.wto.org/imrd/directdoc.asp?DDFDocuments/u/G/TBTN16/KOR682.DOC</v>
      </c>
      <c r="L88" s="2" t="str">
        <f>HYPERLINK("https://docs.wto.org/imrd/directdoc.asp?DDFDocuments/v/G/TBTN16/KOR682.DOC")</f>
        <v>https://docs.wto.org/imrd/directdoc.asp?DDFDocuments/v/G/TBTN16/KOR682.DOC</v>
      </c>
      <c r="M88" s="2" t="str">
        <f>HYPERLINK("http://www.epingalert.org/#/details/G/TBT/N/KOR/682")</f>
        <v>http://www.epingalert.org/#/details/G/TBT/N/KOR/682</v>
      </c>
      <c r="N88" s="2"/>
      <c r="O88" s="2"/>
    </row>
    <row r="89" spans="1:15" ht="409.5" x14ac:dyDescent="0.25">
      <c r="A89" s="2" t="s">
        <v>1908</v>
      </c>
      <c r="B89" s="4" t="s">
        <v>1909</v>
      </c>
      <c r="C89" s="2" t="s">
        <v>1910</v>
      </c>
      <c r="D89" s="2" t="s">
        <v>1911</v>
      </c>
      <c r="E89" s="3">
        <v>42654</v>
      </c>
      <c r="F89" s="2" t="s">
        <v>1912</v>
      </c>
      <c r="G89" s="2" t="s">
        <v>1913</v>
      </c>
      <c r="H89" s="2" t="s">
        <v>988</v>
      </c>
      <c r="I89" s="3">
        <v>42719</v>
      </c>
      <c r="J89" s="2" t="str">
        <f>HYPERLINK("https://docs.wto.org/imrd/directdoc.asp?DDFDocuments/t/G/TBTN16/CAN500.DOC")</f>
        <v>https://docs.wto.org/imrd/directdoc.asp?DDFDocuments/t/G/TBTN16/CAN500.DOC</v>
      </c>
      <c r="K89" s="2" t="str">
        <f>HYPERLINK("https://docs.wto.org/imrd/directdoc.asp?DDFDocuments/u/G/TBTN16/CAN500.DOC")</f>
        <v>https://docs.wto.org/imrd/directdoc.asp?DDFDocuments/u/G/TBTN16/CAN500.DOC</v>
      </c>
      <c r="L89" s="2" t="str">
        <f>HYPERLINK("https://docs.wto.org/imrd/directdoc.asp?DDFDocuments/v/G/TBTN16/CAN500.DOC")</f>
        <v>https://docs.wto.org/imrd/directdoc.asp?DDFDocuments/v/G/TBTN16/CAN500.DOC</v>
      </c>
      <c r="M89" s="2" t="str">
        <f>HYPERLINK("http://www.epingalert.org/#/details/G/TBT/N/CAN/500")</f>
        <v>http://www.epingalert.org/#/details/G/TBT/N/CAN/500</v>
      </c>
      <c r="N89" s="2"/>
      <c r="O89" s="2"/>
    </row>
    <row r="90" spans="1:15" ht="135" x14ac:dyDescent="0.25">
      <c r="A90" s="2" t="s">
        <v>98</v>
      </c>
      <c r="B90" s="4" t="s">
        <v>99</v>
      </c>
      <c r="C90" s="2" t="s">
        <v>100</v>
      </c>
      <c r="D90" s="2" t="s">
        <v>101</v>
      </c>
      <c r="E90" s="3">
        <v>42640</v>
      </c>
      <c r="F90" s="2" t="s">
        <v>102</v>
      </c>
      <c r="G90" s="2" t="s">
        <v>103</v>
      </c>
      <c r="H90" s="2" t="s">
        <v>17</v>
      </c>
      <c r="I90" s="3">
        <v>42685</v>
      </c>
      <c r="J90" s="2" t="str">
        <f>HYPERLINK("https://docs.wto.org/imrd/directdoc.asp?DDFDocuments/t/G/TBTN12/ZAF151R1.DOC")</f>
        <v>https://docs.wto.org/imrd/directdoc.asp?DDFDocuments/t/G/TBTN12/ZAF151R1.DOC</v>
      </c>
      <c r="K90" s="2" t="str">
        <f>HYPERLINK("https://docs.wto.org/imrd/directdoc.asp?DDFDocuments/u/G/TBTN12/ZAF151R1.DOC")</f>
        <v>https://docs.wto.org/imrd/directdoc.asp?DDFDocuments/u/G/TBTN12/ZAF151R1.DOC</v>
      </c>
      <c r="L90" s="2" t="str">
        <f>HYPERLINK("https://docs.wto.org/imrd/directdoc.asp?DDFDocuments/v/G/TBTN12/ZAF151R1.DOC")</f>
        <v>https://docs.wto.org/imrd/directdoc.asp?DDFDocuments/v/G/TBTN12/ZAF151R1.DOC</v>
      </c>
      <c r="M90" s="2" t="str">
        <f>HYPERLINK("http://www.epingalert.org/#/details/G/TBT/N/ZAF/151/Rev.1")</f>
        <v>http://www.epingalert.org/#/details/G/TBT/N/ZAF/151/Rev.1</v>
      </c>
      <c r="N90" s="2"/>
      <c r="O90" s="2"/>
    </row>
    <row r="91" spans="1:15" ht="315" x14ac:dyDescent="0.25">
      <c r="A91" s="2" t="s">
        <v>1198</v>
      </c>
      <c r="B91" s="4" t="s">
        <v>1914</v>
      </c>
      <c r="C91" s="2" t="s">
        <v>1915</v>
      </c>
      <c r="D91" s="2"/>
      <c r="E91" s="3">
        <v>42639</v>
      </c>
      <c r="F91" s="2"/>
      <c r="G91" s="2" t="s">
        <v>1916</v>
      </c>
      <c r="H91" s="2" t="s">
        <v>217</v>
      </c>
      <c r="I91" s="3">
        <v>42723</v>
      </c>
      <c r="J91" s="2" t="str">
        <f>HYPERLINK("https://docs.wto.org/imrd/directdoc.asp?DDFDocuments/t/G/TBTN16/ECU328.DOC")</f>
        <v>https://docs.wto.org/imrd/directdoc.asp?DDFDocuments/t/G/TBTN16/ECU328.DOC</v>
      </c>
      <c r="K91" s="2" t="str">
        <f>HYPERLINK("https://docs.wto.org/imrd/directdoc.asp?DDFDocuments/u/G/TBTN16/ECU328.DOC")</f>
        <v>https://docs.wto.org/imrd/directdoc.asp?DDFDocuments/u/G/TBTN16/ECU328.DOC</v>
      </c>
      <c r="L91" s="2" t="str">
        <f>HYPERLINK("https://docs.wto.org/imrd/directdoc.asp?DDFDocuments/v/G/TBTN16/ECU328.DOC")</f>
        <v>https://docs.wto.org/imrd/directdoc.asp?DDFDocuments/v/G/TBTN16/ECU328.DOC</v>
      </c>
      <c r="M91" s="2" t="str">
        <f>HYPERLINK("http://www.epingalert.org/#/details/G/TBT/N/ECU/328")</f>
        <v>http://www.epingalert.org/#/details/G/TBT/N/ECU/328</v>
      </c>
      <c r="N91" s="2"/>
      <c r="O91" s="2"/>
    </row>
    <row r="92" spans="1:15" ht="409.5" x14ac:dyDescent="0.25">
      <c r="A92" s="2" t="s">
        <v>98</v>
      </c>
      <c r="B92" s="4" t="s">
        <v>104</v>
      </c>
      <c r="C92" s="2" t="s">
        <v>105</v>
      </c>
      <c r="D92" s="2" t="s">
        <v>106</v>
      </c>
      <c r="E92" s="3">
        <v>42639</v>
      </c>
      <c r="F92" s="2" t="s">
        <v>107</v>
      </c>
      <c r="G92" s="2" t="s">
        <v>108</v>
      </c>
      <c r="H92" s="2" t="s">
        <v>17</v>
      </c>
      <c r="I92" s="3">
        <v>42699</v>
      </c>
      <c r="J92" s="2" t="str">
        <f>HYPERLINK("https://docs.wto.org/imrd/directdoc.asp?DDFDocuments/t/G/TBTN16/ZAF204R1.DOC")</f>
        <v>https://docs.wto.org/imrd/directdoc.asp?DDFDocuments/t/G/TBTN16/ZAF204R1.DOC</v>
      </c>
      <c r="K92" s="2" t="str">
        <f>HYPERLINK("https://docs.wto.org/imrd/directdoc.asp?DDFDocuments/u/G/TBTN16/ZAF204R1.DOC")</f>
        <v>https://docs.wto.org/imrd/directdoc.asp?DDFDocuments/u/G/TBTN16/ZAF204R1.DOC</v>
      </c>
      <c r="L92" s="2" t="str">
        <f>HYPERLINK("https://docs.wto.org/imrd/directdoc.asp?DDFDocuments/v/G/TBTN16/ZAF204R1.DOC")</f>
        <v>https://docs.wto.org/imrd/directdoc.asp?DDFDocuments/v/G/TBTN16/ZAF204R1.DOC</v>
      </c>
      <c r="M92" s="2" t="str">
        <f>HYPERLINK("http://www.epingalert.org/#/details/G/TBT/N/ZAF/204/Rev.1")</f>
        <v>http://www.epingalert.org/#/details/G/TBT/N/ZAF/204/Rev.1</v>
      </c>
      <c r="N92" s="2"/>
      <c r="O92" s="2"/>
    </row>
    <row r="93" spans="1:15" ht="105" x14ac:dyDescent="0.25">
      <c r="A93" s="2" t="s">
        <v>77</v>
      </c>
      <c r="B93" s="4" t="s">
        <v>109</v>
      </c>
      <c r="C93" s="2" t="s">
        <v>110</v>
      </c>
      <c r="D93" s="2" t="s">
        <v>111</v>
      </c>
      <c r="E93" s="3">
        <v>42639</v>
      </c>
      <c r="F93" s="8" t="s">
        <v>112</v>
      </c>
      <c r="G93" s="2"/>
      <c r="H93" s="2" t="s">
        <v>24</v>
      </c>
      <c r="I93" s="3">
        <v>42699</v>
      </c>
      <c r="J93" s="2" t="str">
        <f>HYPERLINK("https://docs.wto.org/imrd/directdoc.asp?DDFDocuments/t/G/TBTN16/TPKM246.DOC")</f>
        <v>https://docs.wto.org/imrd/directdoc.asp?DDFDocuments/t/G/TBTN16/TPKM246.DOC</v>
      </c>
      <c r="K93" s="2" t="str">
        <f>HYPERLINK("https://docs.wto.org/imrd/directdoc.asp?DDFDocuments/u/G/TBTN16/TPKM246.DOC")</f>
        <v>https://docs.wto.org/imrd/directdoc.asp?DDFDocuments/u/G/TBTN16/TPKM246.DOC</v>
      </c>
      <c r="L93" s="2" t="str">
        <f>HYPERLINK("https://docs.wto.org/imrd/directdoc.asp?DDFDocuments/v/G/TBTN16/TPKM246.DOC")</f>
        <v>https://docs.wto.org/imrd/directdoc.asp?DDFDocuments/v/G/TBTN16/TPKM246.DOC</v>
      </c>
      <c r="M93" s="2" t="str">
        <f>HYPERLINK("http://www.epingalert.org/#/details/G/TBT/N/TPKM/246")</f>
        <v>http://www.epingalert.org/#/details/G/TBT/N/TPKM/246</v>
      </c>
      <c r="N93" s="2"/>
      <c r="O93" s="2"/>
    </row>
    <row r="94" spans="1:15" ht="210" x14ac:dyDescent="0.25">
      <c r="A94" s="2" t="s">
        <v>1488</v>
      </c>
      <c r="B94" s="4" t="s">
        <v>1917</v>
      </c>
      <c r="C94" s="2" t="s">
        <v>1918</v>
      </c>
      <c r="D94" s="2" t="s">
        <v>1919</v>
      </c>
      <c r="E94" s="3">
        <v>42639</v>
      </c>
      <c r="F94" s="2" t="s">
        <v>1920</v>
      </c>
      <c r="G94" s="2" t="s">
        <v>1921</v>
      </c>
      <c r="H94" s="2" t="s">
        <v>17</v>
      </c>
      <c r="I94" s="3">
        <v>42699</v>
      </c>
      <c r="J94" s="2" t="str">
        <f>HYPERLINK("https://docs.wto.org/imrd/directdoc.asp?DDFDocuments/t/G/TBTN16/MEX322.DOC")</f>
        <v>https://docs.wto.org/imrd/directdoc.asp?DDFDocuments/t/G/TBTN16/MEX322.DOC</v>
      </c>
      <c r="K94" s="2" t="str">
        <f>HYPERLINK("https://docs.wto.org/imrd/directdoc.asp?DDFDocuments/u/G/TBTN16/MEX322.DOC")</f>
        <v>https://docs.wto.org/imrd/directdoc.asp?DDFDocuments/u/G/TBTN16/MEX322.DOC</v>
      </c>
      <c r="L94" s="2" t="str">
        <f>HYPERLINK("https://docs.wto.org/imrd/directdoc.asp?DDFDocuments/v/G/TBTN16/MEX322.DOC")</f>
        <v>https://docs.wto.org/imrd/directdoc.asp?DDFDocuments/v/G/TBTN16/MEX322.DOC</v>
      </c>
      <c r="M94" s="2" t="str">
        <f>HYPERLINK("http://www.epingalert.org/#/details/G/TBT/N/MEX/322")</f>
        <v>http://www.epingalert.org/#/details/G/TBT/N/MEX/322</v>
      </c>
      <c r="N94" s="2"/>
      <c r="O94" s="2" t="s">
        <v>8888</v>
      </c>
    </row>
    <row r="95" spans="1:15" ht="135" x14ac:dyDescent="0.25">
      <c r="A95" s="2" t="s">
        <v>12</v>
      </c>
      <c r="B95" s="4" t="s">
        <v>113</v>
      </c>
      <c r="C95" s="2" t="s">
        <v>114</v>
      </c>
      <c r="D95" s="2" t="s">
        <v>15</v>
      </c>
      <c r="E95" s="3">
        <v>42636</v>
      </c>
      <c r="F95" s="2" t="s">
        <v>86</v>
      </c>
      <c r="G95" s="2"/>
      <c r="H95" s="2" t="s">
        <v>17</v>
      </c>
      <c r="I95" s="3">
        <v>42696</v>
      </c>
      <c r="J95" s="2" t="str">
        <f>HYPERLINK("https://docs.wto.org/imrd/directdoc.asp?DDFDocuments/t/G/TBTN16/EU408.DOC")</f>
        <v>https://docs.wto.org/imrd/directdoc.asp?DDFDocuments/t/G/TBTN16/EU408.DOC</v>
      </c>
      <c r="K95" s="2" t="str">
        <f>HYPERLINK("https://docs.wto.org/imrd/directdoc.asp?DDFDocuments/u/G/TBTN16/EU408.DOC")</f>
        <v>https://docs.wto.org/imrd/directdoc.asp?DDFDocuments/u/G/TBTN16/EU408.DOC</v>
      </c>
      <c r="L95" s="2" t="str">
        <f>HYPERLINK("https://docs.wto.org/imrd/directdoc.asp?DDFDocuments/v/G/TBTN16/EU408.DOC")</f>
        <v>https://docs.wto.org/imrd/directdoc.asp?DDFDocuments/v/G/TBTN16/EU408.DOC</v>
      </c>
      <c r="M95" s="2" t="str">
        <f>HYPERLINK("http://www.epingalert.org/#/details/G/TBT/N/EU/408")</f>
        <v>http://www.epingalert.org/#/details/G/TBT/N/EU/408</v>
      </c>
      <c r="N95" s="2"/>
      <c r="O95" s="2"/>
    </row>
    <row r="96" spans="1:15" ht="90" outlineLevel="1" x14ac:dyDescent="0.25">
      <c r="A96" s="2" t="s">
        <v>115</v>
      </c>
      <c r="B96" s="4" t="s">
        <v>116</v>
      </c>
      <c r="C96" s="2" t="s">
        <v>117</v>
      </c>
      <c r="D96" s="2" t="s">
        <v>118</v>
      </c>
      <c r="E96" s="3">
        <v>42635</v>
      </c>
      <c r="F96" s="2" t="s">
        <v>119</v>
      </c>
      <c r="G96" s="2"/>
      <c r="H96" s="2" t="s">
        <v>120</v>
      </c>
      <c r="I96" s="3">
        <v>42695</v>
      </c>
      <c r="J96" s="2" t="str">
        <f>HYPERLINK("https://docs.wto.org/imrd/directdoc.asp?DDFDocuments/t/G/TBTN16/JPN535.DOC")</f>
        <v>https://docs.wto.org/imrd/directdoc.asp?DDFDocuments/t/G/TBTN16/JPN535.DOC</v>
      </c>
      <c r="K96" s="2" t="str">
        <f>HYPERLINK("https://docs.wto.org/imrd/directdoc.asp?DDFDocuments/u/G/TBTN16/JPN535.DOC")</f>
        <v>https://docs.wto.org/imrd/directdoc.asp?DDFDocuments/u/G/TBTN16/JPN535.DOC</v>
      </c>
      <c r="L96" s="2" t="str">
        <f>HYPERLINK("https://docs.wto.org/imrd/directdoc.asp?DDFDocuments/v/G/TBTN16/JPN535.DOC")</f>
        <v>https://docs.wto.org/imrd/directdoc.asp?DDFDocuments/v/G/TBTN16/JPN535.DOC</v>
      </c>
      <c r="M96" s="2" t="str">
        <f>HYPERLINK("http://www.epingalert.org/#/details/G/TBT/N/JPN/535")</f>
        <v>http://www.epingalert.org/#/details/G/TBT/N/JPN/535</v>
      </c>
      <c r="N96" s="2"/>
      <c r="O96" s="2"/>
    </row>
    <row r="97" spans="1:15" ht="360" outlineLevel="1" x14ac:dyDescent="0.25">
      <c r="A97" s="2" t="s">
        <v>121</v>
      </c>
      <c r="B97" s="4" t="s">
        <v>122</v>
      </c>
      <c r="C97" s="2" t="s">
        <v>123</v>
      </c>
      <c r="D97" s="2" t="s">
        <v>124</v>
      </c>
      <c r="E97" s="3">
        <v>42635</v>
      </c>
      <c r="F97" s="2" t="s">
        <v>125</v>
      </c>
      <c r="G97" s="2" t="s">
        <v>126</v>
      </c>
      <c r="H97" s="2" t="s">
        <v>127</v>
      </c>
      <c r="I97" s="3">
        <v>42695</v>
      </c>
      <c r="J97" s="2" t="str">
        <f>HYPERLINK("https://docs.wto.org/imrd/directdoc.asp?DDFDocuments/t/G/TBTN16/IND56.DOC")</f>
        <v>https://docs.wto.org/imrd/directdoc.asp?DDFDocuments/t/G/TBTN16/IND56.DOC</v>
      </c>
      <c r="K97" s="2" t="str">
        <f>HYPERLINK("https://docs.wto.org/imrd/directdoc.asp?DDFDocuments/u/G/TBTN16/IND56.DOC")</f>
        <v>https://docs.wto.org/imrd/directdoc.asp?DDFDocuments/u/G/TBTN16/IND56.DOC</v>
      </c>
      <c r="L97" s="2" t="str">
        <f>HYPERLINK("https://docs.wto.org/imrd/directdoc.asp?DDFDocuments/v/G/TBTN16/IND56.DOC")</f>
        <v>https://docs.wto.org/imrd/directdoc.asp?DDFDocuments/v/G/TBTN16/IND56.DOC</v>
      </c>
      <c r="M97" s="2" t="str">
        <f>HYPERLINK("http://www.epingalert.org/#/details/G/TBT/N/IND/56")</f>
        <v>http://www.epingalert.org/#/details/G/TBT/N/IND/56</v>
      </c>
      <c r="N97" s="2"/>
      <c r="O97" s="2"/>
    </row>
    <row r="98" spans="1:15" ht="300" outlineLevel="1" x14ac:dyDescent="0.25">
      <c r="A98" s="2" t="s">
        <v>1198</v>
      </c>
      <c r="B98" s="4" t="s">
        <v>1922</v>
      </c>
      <c r="C98" s="2" t="s">
        <v>1923</v>
      </c>
      <c r="D98" s="2" t="s">
        <v>1924</v>
      </c>
      <c r="E98" s="3">
        <v>42633</v>
      </c>
      <c r="F98" s="2" t="s">
        <v>1925</v>
      </c>
      <c r="G98" s="2" t="s">
        <v>1926</v>
      </c>
      <c r="H98" s="2" t="s">
        <v>1927</v>
      </c>
      <c r="I98" s="3">
        <v>42715</v>
      </c>
      <c r="J98" s="2" t="str">
        <f>HYPERLINK("https://docs.wto.org/imrd/directdoc.asp?DDFDocuments/t/G/TBTN16/ECU327.DOC")</f>
        <v>https://docs.wto.org/imrd/directdoc.asp?DDFDocuments/t/G/TBTN16/ECU327.DOC</v>
      </c>
      <c r="K98" s="2" t="str">
        <f>HYPERLINK("https://docs.wto.org/imrd/directdoc.asp?DDFDocuments/u/G/TBTN16/ECU327.DOC")</f>
        <v>https://docs.wto.org/imrd/directdoc.asp?DDFDocuments/u/G/TBTN16/ECU327.DOC</v>
      </c>
      <c r="L98" s="2" t="str">
        <f>HYPERLINK("https://docs.wto.org/imrd/directdoc.asp?DDFDocuments/v/G/TBTN16/ECU327.DOC")</f>
        <v>https://docs.wto.org/imrd/directdoc.asp?DDFDocuments/v/G/TBTN16/ECU327.DOC</v>
      </c>
      <c r="M98" s="2" t="str">
        <f>HYPERLINK("http://www.epingalert.org/#/details/G/TBT/N/ECU/327")</f>
        <v>http://www.epingalert.org/#/details/G/TBT/N/ECU/327</v>
      </c>
      <c r="N98" s="2"/>
      <c r="O98" s="2"/>
    </row>
    <row r="99" spans="1:15" ht="405" outlineLevel="1" x14ac:dyDescent="0.25">
      <c r="A99" s="2" t="s">
        <v>128</v>
      </c>
      <c r="B99" s="4" t="s">
        <v>129</v>
      </c>
      <c r="C99" s="2" t="s">
        <v>8974</v>
      </c>
      <c r="D99" s="2" t="s">
        <v>8975</v>
      </c>
      <c r="E99" s="3">
        <v>42633</v>
      </c>
      <c r="F99" s="2"/>
      <c r="G99" s="2" t="s">
        <v>130</v>
      </c>
      <c r="H99" s="2" t="s">
        <v>17</v>
      </c>
      <c r="I99" s="3">
        <v>42712</v>
      </c>
      <c r="J99" s="2" t="str">
        <f>HYPERLINK("https://docs.wto.org/imrd/directdoc.asp?DDFDocuments/t/G/TBTN16/PER89.DOC")</f>
        <v>https://docs.wto.org/imrd/directdoc.asp?DDFDocuments/t/G/TBTN16/PER89.DOC</v>
      </c>
      <c r="K99" s="2" t="str">
        <f>HYPERLINK("https://docs.wto.org/imrd/directdoc.asp?DDFDocuments/u/G/TBTN16/PER89.DOC")</f>
        <v>https://docs.wto.org/imrd/directdoc.asp?DDFDocuments/u/G/TBTN16/PER89.DOC</v>
      </c>
      <c r="L99" s="2" t="str">
        <f>HYPERLINK("https://docs.wto.org/imrd/directdoc.asp?DDFDocuments/v/G/TBTN16/PER89.DOC")</f>
        <v>https://docs.wto.org/imrd/directdoc.asp?DDFDocuments/v/G/TBTN16/PER89.DOC</v>
      </c>
      <c r="M99" s="2" t="str">
        <f>HYPERLINK("http://www.epingalert.org/#/details/G/TBT/N/PER/89")</f>
        <v>http://www.epingalert.org/#/details/G/TBT/N/PER/89</v>
      </c>
      <c r="N99" s="2"/>
      <c r="O99" s="2"/>
    </row>
    <row r="100" spans="1:15" ht="409.5" outlineLevel="1" x14ac:dyDescent="0.25">
      <c r="A100" s="2" t="s">
        <v>98</v>
      </c>
      <c r="B100" s="4" t="s">
        <v>131</v>
      </c>
      <c r="C100" s="2" t="s">
        <v>132</v>
      </c>
      <c r="D100" s="2" t="s">
        <v>133</v>
      </c>
      <c r="E100" s="3">
        <v>42632</v>
      </c>
      <c r="F100" s="2" t="s">
        <v>134</v>
      </c>
      <c r="G100" s="2" t="s">
        <v>103</v>
      </c>
      <c r="H100" s="2" t="s">
        <v>17</v>
      </c>
      <c r="I100" s="3">
        <v>42717</v>
      </c>
      <c r="J100" s="2" t="str">
        <f>HYPERLINK("https://docs.wto.org/imrd/directdoc.asp?DDFDocuments/t/G/TBTN16/ZAF211.DOC")</f>
        <v>https://docs.wto.org/imrd/directdoc.asp?DDFDocuments/t/G/TBTN16/ZAF211.DOC</v>
      </c>
      <c r="K100" s="2" t="str">
        <f>HYPERLINK("https://docs.wto.org/imrd/directdoc.asp?DDFDocuments/u/G/TBTN16/ZAF211.DOC")</f>
        <v>https://docs.wto.org/imrd/directdoc.asp?DDFDocuments/u/G/TBTN16/ZAF211.DOC</v>
      </c>
      <c r="L100" s="2" t="str">
        <f>HYPERLINK("https://docs.wto.org/imrd/directdoc.asp?DDFDocuments/v/G/TBTN16/ZAF211.DOC")</f>
        <v>https://docs.wto.org/imrd/directdoc.asp?DDFDocuments/v/G/TBTN16/ZAF211.DOC</v>
      </c>
      <c r="M100" s="2" t="str">
        <f>HYPERLINK("http://www.epingalert.org/#/details/G/TBT/N/ZAF/211")</f>
        <v>http://www.epingalert.org/#/details/G/TBT/N/ZAF/211</v>
      </c>
      <c r="N100" s="2"/>
      <c r="O100" s="2"/>
    </row>
    <row r="101" spans="1:15" ht="409.5" outlineLevel="1" x14ac:dyDescent="0.25">
      <c r="A101" s="2" t="s">
        <v>98</v>
      </c>
      <c r="B101" s="4" t="s">
        <v>135</v>
      </c>
      <c r="C101" s="2" t="s">
        <v>136</v>
      </c>
      <c r="D101" s="2" t="s">
        <v>106</v>
      </c>
      <c r="E101" s="3">
        <v>42632</v>
      </c>
      <c r="F101" s="2" t="s">
        <v>137</v>
      </c>
      <c r="G101" s="2" t="s">
        <v>138</v>
      </c>
      <c r="H101" s="2" t="s">
        <v>17</v>
      </c>
      <c r="I101" s="3">
        <v>42692</v>
      </c>
      <c r="J101" s="2" t="str">
        <f>HYPERLINK("https://docs.wto.org/imrd/directdoc.asp?DDFDocuments/t/G/TBTN16/ZAF210.DOC")</f>
        <v>https://docs.wto.org/imrd/directdoc.asp?DDFDocuments/t/G/TBTN16/ZAF210.DOC</v>
      </c>
      <c r="K101" s="2" t="str">
        <f>HYPERLINK("null")</f>
        <v>null</v>
      </c>
      <c r="L101" s="2" t="str">
        <f>HYPERLINK("null")</f>
        <v>null</v>
      </c>
      <c r="M101" s="2" t="str">
        <f>HYPERLINK("http://www.epingalert.org/#/details/G/TBT/N/ZAF/210")</f>
        <v>http://www.epingalert.org/#/details/G/TBT/N/ZAF/210</v>
      </c>
      <c r="N101" s="2"/>
      <c r="O101" s="2"/>
    </row>
    <row r="102" spans="1:15" ht="120" outlineLevel="1" x14ac:dyDescent="0.25">
      <c r="A102" s="2" t="s">
        <v>312</v>
      </c>
      <c r="B102" s="4" t="s">
        <v>1928</v>
      </c>
      <c r="C102" s="2" t="s">
        <v>1929</v>
      </c>
      <c r="D102" s="2" t="s">
        <v>1930</v>
      </c>
      <c r="E102" s="3">
        <v>42632</v>
      </c>
      <c r="F102" s="2" t="s">
        <v>1931</v>
      </c>
      <c r="G102" s="2" t="s">
        <v>1932</v>
      </c>
      <c r="H102" s="2" t="s">
        <v>198</v>
      </c>
      <c r="I102" s="3">
        <v>42678</v>
      </c>
      <c r="J102" s="2" t="str">
        <f>HYPERLINK("https://docs.wto.org/imrd/directdoc.asp?DDFDocuments/t/G/TBTN16/UGA591.DOC")</f>
        <v>https://docs.wto.org/imrd/directdoc.asp?DDFDocuments/t/G/TBTN16/UGA591.DOC</v>
      </c>
      <c r="K102" s="2" t="str">
        <f>HYPERLINK("https://docs.wto.org/imrd/directdoc.asp?DDFDocuments/u/G/TBTN16/UGA591.DOC")</f>
        <v>https://docs.wto.org/imrd/directdoc.asp?DDFDocuments/u/G/TBTN16/UGA591.DOC</v>
      </c>
      <c r="L102" s="2" t="str">
        <f>HYPERLINK("https://docs.wto.org/imrd/directdoc.asp?DDFDocuments/v/G/TBTN16/UGA591.DOC")</f>
        <v>https://docs.wto.org/imrd/directdoc.asp?DDFDocuments/v/G/TBTN16/UGA591.DOC</v>
      </c>
      <c r="M102" s="2" t="str">
        <f>HYPERLINK("http://www.epingalert.org/#/details/G/TBT/N/UGA/591")</f>
        <v>http://www.epingalert.org/#/details/G/TBT/N/UGA/591</v>
      </c>
      <c r="N102" s="2"/>
      <c r="O102" s="2"/>
    </row>
    <row r="103" spans="1:15" ht="120" outlineLevel="1" x14ac:dyDescent="0.25">
      <c r="A103" s="2" t="s">
        <v>312</v>
      </c>
      <c r="B103" s="4" t="s">
        <v>1933</v>
      </c>
      <c r="C103" s="2" t="s">
        <v>1934</v>
      </c>
      <c r="D103" s="2" t="s">
        <v>1935</v>
      </c>
      <c r="E103" s="3">
        <v>42632</v>
      </c>
      <c r="F103" s="2" t="s">
        <v>1936</v>
      </c>
      <c r="G103" s="2" t="s">
        <v>1937</v>
      </c>
      <c r="H103" s="2" t="s">
        <v>198</v>
      </c>
      <c r="I103" s="3">
        <v>42678</v>
      </c>
      <c r="J103" s="2" t="str">
        <f>HYPERLINK("https://docs.wto.org/imrd/directdoc.asp?DDFDocuments/t/G/TBTN16/UGA590.DOC")</f>
        <v>https://docs.wto.org/imrd/directdoc.asp?DDFDocuments/t/G/TBTN16/UGA590.DOC</v>
      </c>
      <c r="K103" s="2" t="str">
        <f>HYPERLINK("https://docs.wto.org/imrd/directdoc.asp?DDFDocuments/u/G/TBTN16/UGA590.DOC")</f>
        <v>https://docs.wto.org/imrd/directdoc.asp?DDFDocuments/u/G/TBTN16/UGA590.DOC</v>
      </c>
      <c r="L103" s="2" t="str">
        <f>HYPERLINK("https://docs.wto.org/imrd/directdoc.asp?DDFDocuments/v/G/TBTN16/UGA590.DOC")</f>
        <v>https://docs.wto.org/imrd/directdoc.asp?DDFDocuments/v/G/TBTN16/UGA590.DOC</v>
      </c>
      <c r="M103" s="2" t="str">
        <f>HYPERLINK("http://www.epingalert.org/#/details/G/TBT/N/UGA/590")</f>
        <v>http://www.epingalert.org/#/details/G/TBT/N/UGA/590</v>
      </c>
      <c r="N103" s="2"/>
      <c r="O103" s="2"/>
    </row>
    <row r="104" spans="1:15" ht="195" outlineLevel="1" x14ac:dyDescent="0.25">
      <c r="A104" s="2" t="s">
        <v>77</v>
      </c>
      <c r="B104" s="4" t="s">
        <v>139</v>
      </c>
      <c r="C104" s="2" t="s">
        <v>140</v>
      </c>
      <c r="D104" s="2" t="s">
        <v>141</v>
      </c>
      <c r="E104" s="3">
        <v>42628</v>
      </c>
      <c r="F104" s="2" t="s">
        <v>142</v>
      </c>
      <c r="G104" s="2"/>
      <c r="H104" s="2" t="s">
        <v>143</v>
      </c>
      <c r="I104" s="3">
        <v>42688</v>
      </c>
      <c r="J104" s="2" t="str">
        <f>HYPERLINK("https://docs.wto.org/imrd/directdoc.asp?DDFDocuments/t/G/TBTN14/TPKM185R2.DOC")</f>
        <v>https://docs.wto.org/imrd/directdoc.asp?DDFDocuments/t/G/TBTN14/TPKM185R2.DOC</v>
      </c>
      <c r="K104" s="2" t="str">
        <f>HYPERLINK("https://docs.wto.org/imrd/directdoc.asp?DDFDocuments/u/G/TBTN14/TPKM185R2.DOC")</f>
        <v>https://docs.wto.org/imrd/directdoc.asp?DDFDocuments/u/G/TBTN14/TPKM185R2.DOC</v>
      </c>
      <c r="L104" s="2" t="str">
        <f>HYPERLINK("https://docs.wto.org/imrd/directdoc.asp?DDFDocuments/v/G/TBTN14/TPKM185R2.DOC")</f>
        <v>https://docs.wto.org/imrd/directdoc.asp?DDFDocuments/v/G/TBTN14/TPKM185R2.DOC</v>
      </c>
      <c r="M104" s="2" t="str">
        <f>HYPERLINK("http://www.epingalert.org/#/details/G/TBT/N/TPKM/185/Rev.2")</f>
        <v>http://www.epingalert.org/#/details/G/TBT/N/TPKM/185/Rev.2</v>
      </c>
      <c r="N104" s="2"/>
      <c r="O104" s="2"/>
    </row>
    <row r="105" spans="1:15" ht="195" outlineLevel="1" x14ac:dyDescent="0.25">
      <c r="A105" s="2" t="s">
        <v>77</v>
      </c>
      <c r="B105" s="4" t="s">
        <v>139</v>
      </c>
      <c r="C105" s="2" t="s">
        <v>140</v>
      </c>
      <c r="D105" s="2" t="s">
        <v>141</v>
      </c>
      <c r="E105" s="3">
        <v>42628</v>
      </c>
      <c r="F105" s="2" t="s">
        <v>142</v>
      </c>
      <c r="G105" s="2"/>
      <c r="H105" s="2" t="s">
        <v>143</v>
      </c>
      <c r="I105" s="3">
        <v>42688</v>
      </c>
      <c r="J105" s="2" t="str">
        <f>HYPERLINK("https://docs.wto.org/imrd/directdoc.asp?DDFDocuments/t/G/TBTN14/TPKM185R2.DOC")</f>
        <v>https://docs.wto.org/imrd/directdoc.asp?DDFDocuments/t/G/TBTN14/TPKM185R2.DOC</v>
      </c>
      <c r="K105" s="2" t="str">
        <f>HYPERLINK("https://docs.wto.org/imrd/directdoc.asp?DDFDocuments/u/G/TBTN14/TPKM185R2.DOC")</f>
        <v>https://docs.wto.org/imrd/directdoc.asp?DDFDocuments/u/G/TBTN14/TPKM185R2.DOC</v>
      </c>
      <c r="L105" s="2" t="str">
        <f>HYPERLINK("https://docs.wto.org/imrd/directdoc.asp?DDFDocuments/v/G/TBTN14/TPKM185R2.DOC")</f>
        <v>https://docs.wto.org/imrd/directdoc.asp?DDFDocuments/v/G/TBTN14/TPKM185R2.DOC</v>
      </c>
      <c r="M105" s="2" t="str">
        <f>HYPERLINK("http://www.epingalert.org/#/details/G/TBT/N/TPKM/185/Rev.2")</f>
        <v>http://www.epingalert.org/#/details/G/TBT/N/TPKM/185/Rev.2</v>
      </c>
      <c r="N105" s="2"/>
      <c r="O105" s="2"/>
    </row>
    <row r="106" spans="1:15" ht="120" outlineLevel="1" x14ac:dyDescent="0.25">
      <c r="A106" s="2" t="s">
        <v>312</v>
      </c>
      <c r="B106" s="4" t="s">
        <v>1938</v>
      </c>
      <c r="C106" s="2" t="s">
        <v>1939</v>
      </c>
      <c r="D106" s="2" t="s">
        <v>1940</v>
      </c>
      <c r="E106" s="3">
        <v>42628</v>
      </c>
      <c r="F106" s="2" t="s">
        <v>1941</v>
      </c>
      <c r="G106" s="2" t="s">
        <v>1942</v>
      </c>
      <c r="H106" s="2" t="s">
        <v>198</v>
      </c>
      <c r="I106" s="3">
        <v>42678</v>
      </c>
      <c r="J106" s="2" t="str">
        <f>HYPERLINK("https://docs.wto.org/imrd/directdoc.asp?DDFDocuments/t/G/TBTN16/UGA576.DOC")</f>
        <v>https://docs.wto.org/imrd/directdoc.asp?DDFDocuments/t/G/TBTN16/UGA576.DOC</v>
      </c>
      <c r="K106" s="2" t="str">
        <f>HYPERLINK("https://docs.wto.org/imrd/directdoc.asp?DDFDocuments/u/G/TBTN16/UGA576.DOC")</f>
        <v>https://docs.wto.org/imrd/directdoc.asp?DDFDocuments/u/G/TBTN16/UGA576.DOC</v>
      </c>
      <c r="L106" s="2" t="str">
        <f>HYPERLINK("https://docs.wto.org/imrd/directdoc.asp?DDFDocuments/v/G/TBTN16/UGA576.DOC")</f>
        <v>https://docs.wto.org/imrd/directdoc.asp?DDFDocuments/v/G/TBTN16/UGA576.DOC</v>
      </c>
      <c r="M106" s="2" t="str">
        <f>HYPERLINK("http://www.epingalert.org/#/details/G/TBT/N/UGA/576")</f>
        <v>http://www.epingalert.org/#/details/G/TBT/N/UGA/576</v>
      </c>
      <c r="N106" s="2"/>
      <c r="O106" s="2"/>
    </row>
    <row r="107" spans="1:15" ht="135" outlineLevel="1" x14ac:dyDescent="0.25">
      <c r="A107" s="2" t="s">
        <v>312</v>
      </c>
      <c r="B107" s="4" t="s">
        <v>1943</v>
      </c>
      <c r="C107" s="2" t="s">
        <v>1944</v>
      </c>
      <c r="D107" s="2" t="s">
        <v>1945</v>
      </c>
      <c r="E107" s="3">
        <v>42628</v>
      </c>
      <c r="F107" s="2" t="s">
        <v>1946</v>
      </c>
      <c r="G107" s="2" t="s">
        <v>1947</v>
      </c>
      <c r="H107" s="2" t="s">
        <v>198</v>
      </c>
      <c r="I107" s="3">
        <v>42678</v>
      </c>
      <c r="J107" s="2" t="str">
        <f>HYPERLINK("https://docs.wto.org/imrd/directdoc.asp?DDFDocuments/t/G/TBTN16/UGA575.DOC")</f>
        <v>https://docs.wto.org/imrd/directdoc.asp?DDFDocuments/t/G/TBTN16/UGA575.DOC</v>
      </c>
      <c r="K107" s="2" t="str">
        <f>HYPERLINK("https://docs.wto.org/imrd/directdoc.asp?DDFDocuments/u/G/TBTN16/UGA575.DOC")</f>
        <v>https://docs.wto.org/imrd/directdoc.asp?DDFDocuments/u/G/TBTN16/UGA575.DOC</v>
      </c>
      <c r="L107" s="2" t="str">
        <f>HYPERLINK("https://docs.wto.org/imrd/directdoc.asp?DDFDocuments/v/G/TBTN16/UGA575.DOC")</f>
        <v>https://docs.wto.org/imrd/directdoc.asp?DDFDocuments/v/G/TBTN16/UGA575.DOC</v>
      </c>
      <c r="M107" s="2" t="str">
        <f>HYPERLINK("http://www.epingalert.org/#/details/G/TBT/N/UGA/575")</f>
        <v>http://www.epingalert.org/#/details/G/TBT/N/UGA/575</v>
      </c>
      <c r="N107" s="2"/>
      <c r="O107" s="2"/>
    </row>
    <row r="108" spans="1:15" ht="120" outlineLevel="1" x14ac:dyDescent="0.25">
      <c r="A108" s="2" t="s">
        <v>312</v>
      </c>
      <c r="B108" s="4" t="s">
        <v>1948</v>
      </c>
      <c r="C108" s="2" t="s">
        <v>1949</v>
      </c>
      <c r="D108" s="2" t="s">
        <v>1950</v>
      </c>
      <c r="E108" s="3">
        <v>42626</v>
      </c>
      <c r="F108" s="2" t="s">
        <v>1951</v>
      </c>
      <c r="G108" s="2" t="s">
        <v>1947</v>
      </c>
      <c r="H108" s="2" t="s">
        <v>198</v>
      </c>
      <c r="I108" s="3">
        <v>42678</v>
      </c>
      <c r="J108" s="2" t="str">
        <f>HYPERLINK("https://docs.wto.org/imrd/directdoc.asp?DDFDocuments/t/G/TBTN16/UGA574.DOC")</f>
        <v>https://docs.wto.org/imrd/directdoc.asp?DDFDocuments/t/G/TBTN16/UGA574.DOC</v>
      </c>
      <c r="K108" s="2" t="str">
        <f>HYPERLINK("https://docs.wto.org/imrd/directdoc.asp?DDFDocuments/u/G/TBTN16/UGA574.DOC")</f>
        <v>https://docs.wto.org/imrd/directdoc.asp?DDFDocuments/u/G/TBTN16/UGA574.DOC</v>
      </c>
      <c r="L108" s="2" t="str">
        <f>HYPERLINK("https://docs.wto.org/imrd/directdoc.asp?DDFDocuments/v/G/TBTN16/UGA574.DOC")</f>
        <v>https://docs.wto.org/imrd/directdoc.asp?DDFDocuments/v/G/TBTN16/UGA574.DOC</v>
      </c>
      <c r="M108" s="2" t="str">
        <f>HYPERLINK("http://www.epingalert.org/#/details/G/TBT/N/UGA/574")</f>
        <v>http://www.epingalert.org/#/details/G/TBT/N/UGA/574</v>
      </c>
      <c r="N108" s="2"/>
      <c r="O108" s="2"/>
    </row>
    <row r="109" spans="1:15" ht="120" outlineLevel="1" x14ac:dyDescent="0.25">
      <c r="A109" s="2" t="s">
        <v>312</v>
      </c>
      <c r="B109" s="4" t="s">
        <v>1952</v>
      </c>
      <c r="C109" s="2" t="s">
        <v>1953</v>
      </c>
      <c r="D109" s="2" t="s">
        <v>1954</v>
      </c>
      <c r="E109" s="3">
        <v>42625</v>
      </c>
      <c r="F109" s="2" t="s">
        <v>1955</v>
      </c>
      <c r="G109" s="2" t="s">
        <v>1942</v>
      </c>
      <c r="H109" s="2" t="s">
        <v>198</v>
      </c>
      <c r="I109" s="3">
        <v>42678</v>
      </c>
      <c r="J109" s="2" t="str">
        <f>HYPERLINK("https://docs.wto.org/imrd/directdoc.asp?DDFDocuments/t/G/TBTN16/UGA573.DOC")</f>
        <v>https://docs.wto.org/imrd/directdoc.asp?DDFDocuments/t/G/TBTN16/UGA573.DOC</v>
      </c>
      <c r="K109" s="2" t="str">
        <f>HYPERLINK("https://docs.wto.org/imrd/directdoc.asp?DDFDocuments/u/G/TBTN16/UGA573.DOC")</f>
        <v>https://docs.wto.org/imrd/directdoc.asp?DDFDocuments/u/G/TBTN16/UGA573.DOC</v>
      </c>
      <c r="L109" s="2" t="str">
        <f>HYPERLINK("https://docs.wto.org/imrd/directdoc.asp?DDFDocuments/v/G/TBTN16/UGA573.DOC")</f>
        <v>https://docs.wto.org/imrd/directdoc.asp?DDFDocuments/v/G/TBTN16/UGA573.DOC</v>
      </c>
      <c r="M109" s="2" t="str">
        <f>HYPERLINK("http://www.epingalert.org/#/details/G/TBT/N/UGA/573")</f>
        <v>http://www.epingalert.org/#/details/G/TBT/N/UGA/573</v>
      </c>
      <c r="N109" s="2"/>
      <c r="O109" s="2"/>
    </row>
    <row r="110" spans="1:15" ht="150" outlineLevel="1" x14ac:dyDescent="0.25">
      <c r="A110" s="2" t="s">
        <v>312</v>
      </c>
      <c r="B110" s="4" t="s">
        <v>1956</v>
      </c>
      <c r="C110" s="2" t="s">
        <v>1957</v>
      </c>
      <c r="D110" s="2" t="s">
        <v>1958</v>
      </c>
      <c r="E110" s="3">
        <v>42625</v>
      </c>
      <c r="F110" s="2" t="s">
        <v>1959</v>
      </c>
      <c r="G110" s="2" t="s">
        <v>1960</v>
      </c>
      <c r="H110" s="2" t="s">
        <v>198</v>
      </c>
      <c r="I110" s="3">
        <v>42678</v>
      </c>
      <c r="J110" s="2" t="str">
        <f>HYPERLINK("https://docs.wto.org/imrd/directdoc.asp?DDFDocuments/t/G/TBTN16/UGA572.DOC")</f>
        <v>https://docs.wto.org/imrd/directdoc.asp?DDFDocuments/t/G/TBTN16/UGA572.DOC</v>
      </c>
      <c r="K110" s="2" t="str">
        <f>HYPERLINK("https://docs.wto.org/imrd/directdoc.asp?DDFDocuments/u/G/TBTN16/UGA572.DOC")</f>
        <v>https://docs.wto.org/imrd/directdoc.asp?DDFDocuments/u/G/TBTN16/UGA572.DOC</v>
      </c>
      <c r="L110" s="2" t="str">
        <f>HYPERLINK("https://docs.wto.org/imrd/directdoc.asp?DDFDocuments/v/G/TBTN16/UGA572.DOC")</f>
        <v>https://docs.wto.org/imrd/directdoc.asp?DDFDocuments/v/G/TBTN16/UGA572.DOC</v>
      </c>
      <c r="M110" s="2" t="str">
        <f>HYPERLINK("http://www.epingalert.org/#/details/G/TBT/N/UGA/572")</f>
        <v>http://www.epingalert.org/#/details/G/TBT/N/UGA/572</v>
      </c>
      <c r="N110" s="2"/>
      <c r="O110" s="2"/>
    </row>
    <row r="111" spans="1:15" ht="120" outlineLevel="1" x14ac:dyDescent="0.25">
      <c r="A111" s="2" t="s">
        <v>312</v>
      </c>
      <c r="B111" s="4" t="s">
        <v>1961</v>
      </c>
      <c r="C111" s="2" t="s">
        <v>1962</v>
      </c>
      <c r="D111" s="2" t="s">
        <v>1963</v>
      </c>
      <c r="E111" s="3">
        <v>42625</v>
      </c>
      <c r="F111" s="2" t="s">
        <v>1964</v>
      </c>
      <c r="G111" s="2" t="s">
        <v>1960</v>
      </c>
      <c r="H111" s="2" t="s">
        <v>198</v>
      </c>
      <c r="I111" s="3">
        <v>42678</v>
      </c>
      <c r="J111" s="2" t="str">
        <f>HYPERLINK("https://docs.wto.org/imrd/directdoc.asp?DDFDocuments/t/G/TBTN16/UGA571.DOC")</f>
        <v>https://docs.wto.org/imrd/directdoc.asp?DDFDocuments/t/G/TBTN16/UGA571.DOC</v>
      </c>
      <c r="K111" s="2" t="str">
        <f>HYPERLINK("https://docs.wto.org/imrd/directdoc.asp?DDFDocuments/u/G/TBTN16/UGA571.DOC")</f>
        <v>https://docs.wto.org/imrd/directdoc.asp?DDFDocuments/u/G/TBTN16/UGA571.DOC</v>
      </c>
      <c r="L111" s="2" t="str">
        <f>HYPERLINK("https://docs.wto.org/imrd/directdoc.asp?DDFDocuments/v/G/TBTN16/UGA571.DOC")</f>
        <v>https://docs.wto.org/imrd/directdoc.asp?DDFDocuments/v/G/TBTN16/UGA571.DOC</v>
      </c>
      <c r="M111" s="2" t="str">
        <f>HYPERLINK("http://www.epingalert.org/#/details/G/TBT/N/UGA/571")</f>
        <v>http://www.epingalert.org/#/details/G/TBT/N/UGA/571</v>
      </c>
      <c r="N111" s="2"/>
      <c r="O111" s="2"/>
    </row>
    <row r="112" spans="1:15" ht="135" outlineLevel="1" x14ac:dyDescent="0.25">
      <c r="A112" s="2" t="s">
        <v>42</v>
      </c>
      <c r="B112" s="4" t="s">
        <v>1965</v>
      </c>
      <c r="C112" s="2" t="s">
        <v>1966</v>
      </c>
      <c r="D112" s="2" t="s">
        <v>1967</v>
      </c>
      <c r="E112" s="3">
        <v>42620</v>
      </c>
      <c r="F112" s="2"/>
      <c r="G112" s="2" t="s">
        <v>1968</v>
      </c>
      <c r="H112" s="2" t="s">
        <v>17</v>
      </c>
      <c r="I112" s="3">
        <v>42675</v>
      </c>
      <c r="J112" s="2" t="str">
        <f>HYPERLINK("https://docs.wto.org/imrd/directdoc.asp?DDFDocuments/t/G/TBTN16/BRA691.DOC")</f>
        <v>https://docs.wto.org/imrd/directdoc.asp?DDFDocuments/t/G/TBTN16/BRA691.DOC</v>
      </c>
      <c r="K112" s="2" t="str">
        <f>HYPERLINK("https://docs.wto.org/imrd/directdoc.asp?DDFDocuments/u/G/TBTN16/BRA691.DOC")</f>
        <v>https://docs.wto.org/imrd/directdoc.asp?DDFDocuments/u/G/TBTN16/BRA691.DOC</v>
      </c>
      <c r="L112" s="2" t="str">
        <f>HYPERLINK("https://docs.wto.org/imrd/directdoc.asp?DDFDocuments/v/G/TBTN16/BRA691.DOC")</f>
        <v>https://docs.wto.org/imrd/directdoc.asp?DDFDocuments/v/G/TBTN16/BRA691.DOC</v>
      </c>
      <c r="M112" s="2" t="str">
        <f>HYPERLINK("http://www.epingalert.org/#/details/G/TBT/N/BRA/691")</f>
        <v>http://www.epingalert.org/#/details/G/TBT/N/BRA/691</v>
      </c>
      <c r="N112" s="2"/>
      <c r="O112" s="2"/>
    </row>
    <row r="113" spans="1:15" ht="165" outlineLevel="1" x14ac:dyDescent="0.25">
      <c r="A113" s="2" t="s">
        <v>42</v>
      </c>
      <c r="B113" s="4" t="s">
        <v>1969</v>
      </c>
      <c r="C113" s="2" t="s">
        <v>1970</v>
      </c>
      <c r="D113" s="2" t="s">
        <v>1971</v>
      </c>
      <c r="E113" s="3">
        <v>42620</v>
      </c>
      <c r="F113" s="2"/>
      <c r="G113" s="2" t="s">
        <v>1972</v>
      </c>
      <c r="H113" s="2" t="s">
        <v>17</v>
      </c>
      <c r="I113" s="3">
        <v>42675</v>
      </c>
      <c r="J113" s="2" t="str">
        <f>HYPERLINK("https://docs.wto.org/imrd/directdoc.asp?DDFDocuments/t/G/TBTN16/BRA690.DOC")</f>
        <v>https://docs.wto.org/imrd/directdoc.asp?DDFDocuments/t/G/TBTN16/BRA690.DOC</v>
      </c>
      <c r="K113" s="2" t="str">
        <f>HYPERLINK("https://docs.wto.org/imrd/directdoc.asp?DDFDocuments/u/G/TBTN16/BRA690.DOC")</f>
        <v>https://docs.wto.org/imrd/directdoc.asp?DDFDocuments/u/G/TBTN16/BRA690.DOC</v>
      </c>
      <c r="L113" s="2" t="str">
        <f>HYPERLINK("https://docs.wto.org/imrd/directdoc.asp?DDFDocuments/v/G/TBTN16/BRA690.DOC")</f>
        <v>https://docs.wto.org/imrd/directdoc.asp?DDFDocuments/v/G/TBTN16/BRA690.DOC</v>
      </c>
      <c r="M113" s="2" t="str">
        <f>HYPERLINK("http://www.epingalert.org/#/details/G/TBT/N/BRA/690")</f>
        <v>http://www.epingalert.org/#/details/G/TBT/N/BRA/690</v>
      </c>
      <c r="N113" s="2"/>
      <c r="O113" s="2"/>
    </row>
    <row r="114" spans="1:15" ht="120" outlineLevel="1" x14ac:dyDescent="0.25">
      <c r="A114" s="2" t="s">
        <v>144</v>
      </c>
      <c r="B114" s="4" t="s">
        <v>145</v>
      </c>
      <c r="C114" s="2" t="s">
        <v>146</v>
      </c>
      <c r="D114" s="2" t="s">
        <v>147</v>
      </c>
      <c r="E114" s="3">
        <v>42615</v>
      </c>
      <c r="F114" s="2" t="s">
        <v>148</v>
      </c>
      <c r="G114" s="2" t="s">
        <v>149</v>
      </c>
      <c r="H114" s="2" t="s">
        <v>17</v>
      </c>
      <c r="I114" s="3">
        <v>42675</v>
      </c>
      <c r="J114" s="2" t="str">
        <f>HYPERLINK("https://docs.wto.org/imrd/directdoc.asp?DDFDocuments/t/G/TBTN16/ARE337.DOC")</f>
        <v>https://docs.wto.org/imrd/directdoc.asp?DDFDocuments/t/G/TBTN16/ARE337.DOC</v>
      </c>
      <c r="K114" s="2" t="str">
        <f>HYPERLINK("https://docs.wto.org/imrd/directdoc.asp?DDFDocuments/u/G/TBTN16/ARE337.DOC")</f>
        <v>https://docs.wto.org/imrd/directdoc.asp?DDFDocuments/u/G/TBTN16/ARE337.DOC</v>
      </c>
      <c r="L114" s="2" t="str">
        <f>HYPERLINK("https://docs.wto.org/imrd/directdoc.asp?DDFDocuments/v/G/TBTN16/ARE337.DOC")</f>
        <v>https://docs.wto.org/imrd/directdoc.asp?DDFDocuments/v/G/TBTN16/ARE337.DOC</v>
      </c>
      <c r="M114" s="2" t="str">
        <f>HYPERLINK("http://www.epingalert.org/#/details/G/TBT/N/ARE/337#G/TBT/N/BHR/457#G/TBT/N/KWT/339#G/TBT/N/OMN/277#G/TBT/N/QAT/453#G/TBT/N/SAU/959#G/TBT/N/YEM/59")</f>
        <v>http://www.epingalert.org/#/details/G/TBT/N/ARE/337#G/TBT/N/BHR/457#G/TBT/N/KWT/339#G/TBT/N/OMN/277#G/TBT/N/QAT/453#G/TBT/N/SAU/959#G/TBT/N/YEM/59</v>
      </c>
      <c r="N114" s="2"/>
      <c r="O114" s="2"/>
    </row>
    <row r="115" spans="1:15" ht="120" outlineLevel="1" x14ac:dyDescent="0.25">
      <c r="A115" s="2" t="s">
        <v>144</v>
      </c>
      <c r="B115" s="4" t="s">
        <v>150</v>
      </c>
      <c r="C115" s="2" t="s">
        <v>151</v>
      </c>
      <c r="D115" s="2" t="s">
        <v>152</v>
      </c>
      <c r="E115" s="3">
        <v>42615</v>
      </c>
      <c r="F115" s="2" t="s">
        <v>153</v>
      </c>
      <c r="G115" s="2" t="s">
        <v>23</v>
      </c>
      <c r="H115" s="2" t="s">
        <v>17</v>
      </c>
      <c r="I115" s="3">
        <v>42675</v>
      </c>
      <c r="J115" s="2" t="str">
        <f>HYPERLINK("https://docs.wto.org/imrd/directdoc.asp?DDFDocuments/t/G/TBTN16/ARE336.DOC")</f>
        <v>https://docs.wto.org/imrd/directdoc.asp?DDFDocuments/t/G/TBTN16/ARE336.DOC</v>
      </c>
      <c r="K115" s="2" t="str">
        <f>HYPERLINK("https://docs.wto.org/imrd/directdoc.asp?DDFDocuments/u/G/TBTN16/ARE336.DOC")</f>
        <v>https://docs.wto.org/imrd/directdoc.asp?DDFDocuments/u/G/TBTN16/ARE336.DOC</v>
      </c>
      <c r="L115" s="2" t="str">
        <f>HYPERLINK("https://docs.wto.org/imrd/directdoc.asp?DDFDocuments/v/G/TBTN16/ARE336.DOC")</f>
        <v>https://docs.wto.org/imrd/directdoc.asp?DDFDocuments/v/G/TBTN16/ARE336.DOC</v>
      </c>
      <c r="M115" s="2" t="str">
        <f>HYPERLINK("http://www.epingalert.org/#/details/G/TBT/N/ARE/336#G/TBT/N/BHR/456#G/TBT/N/KWT/338#G/TBT/N/OMN/276#G/TBT/N/QAT/452#G/TBT/N/SAU/958#G/TBT/N/YEM/58")</f>
        <v>http://www.epingalert.org/#/details/G/TBT/N/ARE/336#G/TBT/N/BHR/456#G/TBT/N/KWT/338#G/TBT/N/OMN/276#G/TBT/N/QAT/452#G/TBT/N/SAU/958#G/TBT/N/YEM/58</v>
      </c>
      <c r="N115" s="2"/>
      <c r="O115" s="2"/>
    </row>
    <row r="116" spans="1:15" ht="409.5" outlineLevel="1" x14ac:dyDescent="0.25">
      <c r="A116" s="2" t="s">
        <v>154</v>
      </c>
      <c r="B116" s="4" t="s">
        <v>155</v>
      </c>
      <c r="C116" s="2" t="s">
        <v>156</v>
      </c>
      <c r="D116" s="2" t="s">
        <v>157</v>
      </c>
      <c r="E116" s="3">
        <v>42613</v>
      </c>
      <c r="F116" s="2" t="s">
        <v>46</v>
      </c>
      <c r="G116" s="2"/>
      <c r="H116" s="2" t="s">
        <v>58</v>
      </c>
      <c r="I116" s="3">
        <v>42673</v>
      </c>
      <c r="J116" s="2" t="str">
        <f>HYPERLINK("https://docs.wto.org/imrd/directdoc.asp?DDFDocuments/t/G/TBTN16/IDN110.DOC")</f>
        <v>https://docs.wto.org/imrd/directdoc.asp?DDFDocuments/t/G/TBTN16/IDN110.DOC</v>
      </c>
      <c r="K116" s="2" t="str">
        <f>HYPERLINK("https://docs.wto.org/imrd/directdoc.asp?DDFDocuments/u/G/TBTN16/IDN110.DOC")</f>
        <v>https://docs.wto.org/imrd/directdoc.asp?DDFDocuments/u/G/TBTN16/IDN110.DOC</v>
      </c>
      <c r="L116" s="2" t="str">
        <f>HYPERLINK("https://docs.wto.org/imrd/directdoc.asp?DDFDocuments/v/G/TBTN16/IDN110.DOC")</f>
        <v>https://docs.wto.org/imrd/directdoc.asp?DDFDocuments/v/G/TBTN16/IDN110.DOC</v>
      </c>
      <c r="M116" s="2" t="str">
        <f>HYPERLINK("http://www.epingalert.org/#/details/G/TBT/N/IDN/110")</f>
        <v>http://www.epingalert.org/#/details/G/TBT/N/IDN/110</v>
      </c>
      <c r="N116" s="2"/>
      <c r="O116" s="2"/>
    </row>
    <row r="117" spans="1:15" ht="120" outlineLevel="1" x14ac:dyDescent="0.25">
      <c r="A117" s="2" t="s">
        <v>42</v>
      </c>
      <c r="B117" s="4" t="s">
        <v>1642</v>
      </c>
      <c r="C117" s="2" t="s">
        <v>1643</v>
      </c>
      <c r="D117" s="2" t="s">
        <v>1644</v>
      </c>
      <c r="E117" s="3">
        <v>42613</v>
      </c>
      <c r="F117" s="2" t="s">
        <v>1645</v>
      </c>
      <c r="G117" s="2" t="s">
        <v>1646</v>
      </c>
      <c r="H117" s="2" t="s">
        <v>127</v>
      </c>
      <c r="I117" s="3">
        <v>42668</v>
      </c>
      <c r="J117" s="2" t="str">
        <f>HYPERLINK("https://docs.wto.org/imrd/directdoc.asp?DDFDocuments/t/G/TBTN16/BRA689.DOC")</f>
        <v>https://docs.wto.org/imrd/directdoc.asp?DDFDocuments/t/G/TBTN16/BRA689.DOC</v>
      </c>
      <c r="K117" s="2" t="str">
        <f>HYPERLINK("https://docs.wto.org/imrd/directdoc.asp?DDFDocuments/u/G/TBTN16/BRA689.DOC")</f>
        <v>https://docs.wto.org/imrd/directdoc.asp?DDFDocuments/u/G/TBTN16/BRA689.DOC</v>
      </c>
      <c r="L117" s="2" t="str">
        <f>HYPERLINK("https://docs.wto.org/imrd/directdoc.asp?DDFDocuments/v/G/TBTN16/BRA689.DOC")</f>
        <v>https://docs.wto.org/imrd/directdoc.asp?DDFDocuments/v/G/TBTN16/BRA689.DOC</v>
      </c>
      <c r="M117" s="2" t="str">
        <f>HYPERLINK("http://www.epingalert.org/#/details/G/TBT/N/BRA/689")</f>
        <v>http://www.epingalert.org/#/details/G/TBT/N/BRA/689</v>
      </c>
      <c r="N117" s="2"/>
      <c r="O117" s="2"/>
    </row>
    <row r="118" spans="1:15" ht="409.5" outlineLevel="1" x14ac:dyDescent="0.25">
      <c r="A118" s="2" t="s">
        <v>158</v>
      </c>
      <c r="B118" s="4" t="s">
        <v>159</v>
      </c>
      <c r="C118" s="2" t="s">
        <v>160</v>
      </c>
      <c r="D118" s="2" t="s">
        <v>161</v>
      </c>
      <c r="E118" s="3">
        <v>42612</v>
      </c>
      <c r="F118" s="2">
        <v>67.040000000000006</v>
      </c>
      <c r="G118" s="2" t="s">
        <v>23</v>
      </c>
      <c r="H118" s="2" t="s">
        <v>162</v>
      </c>
      <c r="I118" s="3">
        <v>42672</v>
      </c>
      <c r="J118" s="2" t="str">
        <f>HYPERLINK("https://docs.wto.org/imrd/directdoc.asp?DDFDocuments/t/G/TBTN16/CRI162.DOC")</f>
        <v>https://docs.wto.org/imrd/directdoc.asp?DDFDocuments/t/G/TBTN16/CRI162.DOC</v>
      </c>
      <c r="K118" s="2" t="str">
        <f>HYPERLINK("https://docs.wto.org/imrd/directdoc.asp?DDFDocuments/u/G/TBTN16/CRI162.DOC")</f>
        <v>https://docs.wto.org/imrd/directdoc.asp?DDFDocuments/u/G/TBTN16/CRI162.DOC</v>
      </c>
      <c r="L118" s="2" t="str">
        <f>HYPERLINK("https://docs.wto.org/imrd/directdoc.asp?DDFDocuments/v/G/TBTN16/CRI162.DOC")</f>
        <v>https://docs.wto.org/imrd/directdoc.asp?DDFDocuments/v/G/TBTN16/CRI162.DOC</v>
      </c>
      <c r="M118" s="2" t="str">
        <f>HYPERLINK("http://www.epingalert.org/#/details/G/TBT/N/CRI/162")</f>
        <v>http://www.epingalert.org/#/details/G/TBT/N/CRI/162</v>
      </c>
      <c r="N118" s="2"/>
      <c r="O118" s="2"/>
    </row>
    <row r="119" spans="1:15" ht="409.5" outlineLevel="1" x14ac:dyDescent="0.25">
      <c r="A119" s="2" t="s">
        <v>163</v>
      </c>
      <c r="B119" s="4" t="s">
        <v>164</v>
      </c>
      <c r="C119" s="2" t="s">
        <v>165</v>
      </c>
      <c r="D119" s="2" t="s">
        <v>161</v>
      </c>
      <c r="E119" s="3">
        <v>42611</v>
      </c>
      <c r="F119" s="2">
        <v>67.040000000000006</v>
      </c>
      <c r="G119" s="2" t="s">
        <v>23</v>
      </c>
      <c r="H119" s="2" t="s">
        <v>166</v>
      </c>
      <c r="I119" s="3">
        <v>42671</v>
      </c>
      <c r="J119" s="2" t="str">
        <f>HYPERLINK("https://docs.wto.org/imrd/directdoc.asp?DDFDocuments/t/G/TBTN16/PAN87.DOC")</f>
        <v>https://docs.wto.org/imrd/directdoc.asp?DDFDocuments/t/G/TBTN16/PAN87.DOC</v>
      </c>
      <c r="K119" s="2" t="str">
        <f>HYPERLINK("https://docs.wto.org/imrd/directdoc.asp?DDFDocuments/u/G/TBTN16/PAN87.DOC")</f>
        <v>https://docs.wto.org/imrd/directdoc.asp?DDFDocuments/u/G/TBTN16/PAN87.DOC</v>
      </c>
      <c r="L119" s="2" t="str">
        <f>HYPERLINK("https://docs.wto.org/imrd/directdoc.asp?DDFDocuments/v/G/TBTN16/PAN87.DOC")</f>
        <v>https://docs.wto.org/imrd/directdoc.asp?DDFDocuments/v/G/TBTN16/PAN87.DOC</v>
      </c>
      <c r="M119" s="2" t="str">
        <f>HYPERLINK("http://www.epingalert.org/#/details/G/TBT/N/PAN/87")</f>
        <v>http://www.epingalert.org/#/details/G/TBT/N/PAN/87</v>
      </c>
      <c r="N119" s="2"/>
      <c r="O119" s="2"/>
    </row>
    <row r="120" spans="1:15" ht="409.5" outlineLevel="1" x14ac:dyDescent="0.25">
      <c r="A120" s="2" t="s">
        <v>167</v>
      </c>
      <c r="B120" s="4" t="s">
        <v>168</v>
      </c>
      <c r="C120" s="2" t="s">
        <v>169</v>
      </c>
      <c r="D120" s="2" t="s">
        <v>161</v>
      </c>
      <c r="E120" s="3">
        <v>42611</v>
      </c>
      <c r="F120" s="2">
        <v>67.040000000000006</v>
      </c>
      <c r="G120" s="2" t="s">
        <v>23</v>
      </c>
      <c r="H120" s="2" t="s">
        <v>166</v>
      </c>
      <c r="I120" s="3">
        <v>42671</v>
      </c>
      <c r="J120" s="2" t="str">
        <f>HYPERLINK("https://docs.wto.org/imrd/directdoc.asp?DDFDocuments/t/G/TBTN16/NIC147.DOC")</f>
        <v>https://docs.wto.org/imrd/directdoc.asp?DDFDocuments/t/G/TBTN16/NIC147.DOC</v>
      </c>
      <c r="K120" s="2" t="str">
        <f>HYPERLINK("https://docs.wto.org/imrd/directdoc.asp?DDFDocuments/u/G/TBTN16/NIC147.DOC")</f>
        <v>https://docs.wto.org/imrd/directdoc.asp?DDFDocuments/u/G/TBTN16/NIC147.DOC</v>
      </c>
      <c r="L120" s="2" t="str">
        <f>HYPERLINK("https://docs.wto.org/imrd/directdoc.asp?DDFDocuments/v/G/TBTN16/NIC147.DOC")</f>
        <v>https://docs.wto.org/imrd/directdoc.asp?DDFDocuments/v/G/TBTN16/NIC147.DOC</v>
      </c>
      <c r="M120" s="2" t="str">
        <f>HYPERLINK("http://www.epingalert.org/#/details/G/TBT/N/NIC/147")</f>
        <v>http://www.epingalert.org/#/details/G/TBT/N/NIC/147</v>
      </c>
      <c r="N120" s="2"/>
      <c r="O120" s="2"/>
    </row>
    <row r="121" spans="1:15" ht="375" outlineLevel="1" x14ac:dyDescent="0.25">
      <c r="A121" s="2" t="s">
        <v>646</v>
      </c>
      <c r="B121" s="4" t="s">
        <v>1647</v>
      </c>
      <c r="C121" s="2" t="s">
        <v>1648</v>
      </c>
      <c r="D121" s="2" t="s">
        <v>1649</v>
      </c>
      <c r="E121" s="3">
        <v>42608</v>
      </c>
      <c r="F121" s="2" t="s">
        <v>1650</v>
      </c>
      <c r="G121" s="2" t="s">
        <v>1651</v>
      </c>
      <c r="H121" s="2" t="s">
        <v>17</v>
      </c>
      <c r="I121" s="3">
        <v>42668</v>
      </c>
      <c r="J121" s="2" t="str">
        <f>HYPERLINK("https://docs.wto.org/imrd/directdoc.asp?DDFDocuments/t/G/TBTN16/VNM86.DOC")</f>
        <v>https://docs.wto.org/imrd/directdoc.asp?DDFDocuments/t/G/TBTN16/VNM86.DOC</v>
      </c>
      <c r="K121" s="2" t="str">
        <f>HYPERLINK("https://docs.wto.org/imrd/directdoc.asp?DDFDocuments/u/G/TBTN16/VNM86.DOC")</f>
        <v>https://docs.wto.org/imrd/directdoc.asp?DDFDocuments/u/G/TBTN16/VNM86.DOC</v>
      </c>
      <c r="L121" s="2" t="str">
        <f>HYPERLINK("https://docs.wto.org/imrd/directdoc.asp?DDFDocuments/v/G/TBTN16/VNM86.DOC")</f>
        <v>https://docs.wto.org/imrd/directdoc.asp?DDFDocuments/v/G/TBTN16/VNM86.DOC</v>
      </c>
      <c r="M121" s="2" t="str">
        <f>HYPERLINK("http://www.epingalert.org/#/details/G/TBT/N/VNM/86")</f>
        <v>http://www.epingalert.org/#/details/G/TBT/N/VNM/86</v>
      </c>
      <c r="N121" s="2"/>
      <c r="O121" s="2"/>
    </row>
    <row r="122" spans="1:15" ht="409.5" outlineLevel="1" x14ac:dyDescent="0.25">
      <c r="A122" s="2" t="s">
        <v>170</v>
      </c>
      <c r="B122" s="4" t="s">
        <v>171</v>
      </c>
      <c r="C122" s="2" t="s">
        <v>172</v>
      </c>
      <c r="D122" s="2" t="s">
        <v>161</v>
      </c>
      <c r="E122" s="3">
        <v>42607</v>
      </c>
      <c r="F122" s="2">
        <v>67.040000000000006</v>
      </c>
      <c r="G122" s="2" t="s">
        <v>23</v>
      </c>
      <c r="H122" s="2" t="s">
        <v>166</v>
      </c>
      <c r="I122" s="3">
        <v>42667</v>
      </c>
      <c r="J122" s="2" t="str">
        <f>HYPERLINK("https://docs.wto.org/imrd/directdoc.asp?DDFDocuments/t/G/TBTN16/SLV183.DOC")</f>
        <v>https://docs.wto.org/imrd/directdoc.asp?DDFDocuments/t/G/TBTN16/SLV183.DOC</v>
      </c>
      <c r="K122" s="2" t="str">
        <f>HYPERLINK("https://docs.wto.org/imrd/directdoc.asp?DDFDocuments/u/G/TBTN16/SLV183.DOC")</f>
        <v>https://docs.wto.org/imrd/directdoc.asp?DDFDocuments/u/G/TBTN16/SLV183.DOC</v>
      </c>
      <c r="L122" s="2" t="str">
        <f>HYPERLINK("https://docs.wto.org/imrd/directdoc.asp?DDFDocuments/v/G/TBTN16/SLV183.DOC")</f>
        <v>https://docs.wto.org/imrd/directdoc.asp?DDFDocuments/v/G/TBTN16/SLV183.DOC</v>
      </c>
      <c r="M122" s="2" t="str">
        <f>HYPERLINK("http://www.epingalert.org/#/details/G/TBT/N/SLV/183")</f>
        <v>http://www.epingalert.org/#/details/G/TBT/N/SLV/183</v>
      </c>
      <c r="N122" s="2"/>
      <c r="O122" s="2"/>
    </row>
    <row r="123" spans="1:15" ht="135" outlineLevel="1" x14ac:dyDescent="0.25">
      <c r="A123" s="2" t="s">
        <v>178</v>
      </c>
      <c r="B123" s="4" t="s">
        <v>174</v>
      </c>
      <c r="C123" s="2" t="s">
        <v>175</v>
      </c>
      <c r="D123" s="2" t="s">
        <v>176</v>
      </c>
      <c r="E123" s="3">
        <v>42600</v>
      </c>
      <c r="F123" s="2" t="s">
        <v>177</v>
      </c>
      <c r="G123" s="2"/>
      <c r="H123" s="2" t="s">
        <v>17</v>
      </c>
      <c r="I123" s="3">
        <v>42660</v>
      </c>
      <c r="J123" s="2" t="str">
        <f t="shared" ref="J123:J129" si="10">HYPERLINK("https://docs.wto.org/imrd/directdoc.asp?DDFDocuments/t/G/TBTN16/ARE329.DOC")</f>
        <v>https://docs.wto.org/imrd/directdoc.asp?DDFDocuments/t/G/TBTN16/ARE329.DOC</v>
      </c>
      <c r="K123" s="2" t="str">
        <f t="shared" ref="K123:K129" si="11">HYPERLINK("https://docs.wto.org/imrd/directdoc.asp?DDFDocuments/u/G/TBTN16/ARE329.DOC")</f>
        <v>https://docs.wto.org/imrd/directdoc.asp?DDFDocuments/u/G/TBTN16/ARE329.DOC</v>
      </c>
      <c r="L123" s="2" t="str">
        <f t="shared" ref="L123:L129" si="12">HYPERLINK("https://docs.wto.org/imrd/directdoc.asp?DDFDocuments/v/G/TBTN16/ARE329.DOC")</f>
        <v>https://docs.wto.org/imrd/directdoc.asp?DDFDocuments/v/G/TBTN16/ARE329.DOC</v>
      </c>
      <c r="M123" s="2" t="str">
        <f t="shared" ref="M123:M129" si="13">HYPERLINK("http://www.epingalert.org/#/details/G/TBT/N/ARE/329#G/TBT/N/BHR/450#G/TBT/N/KWT/332#G/TBT/N/OMN/270#G/TBT/N/QAT/446#G/TBT/N/SAU/952#G/TBT/N/YEM/52")</f>
        <v>http://www.epingalert.org/#/details/G/TBT/N/ARE/329#G/TBT/N/BHR/450#G/TBT/N/KWT/332#G/TBT/N/OMN/270#G/TBT/N/QAT/446#G/TBT/N/SAU/952#G/TBT/N/YEM/52</v>
      </c>
      <c r="N123" s="2"/>
      <c r="O123" s="2"/>
    </row>
    <row r="124" spans="1:15" ht="135" outlineLevel="1" x14ac:dyDescent="0.25">
      <c r="A124" s="2" t="s">
        <v>179</v>
      </c>
      <c r="B124" s="4" t="s">
        <v>174</v>
      </c>
      <c r="C124" s="2" t="s">
        <v>175</v>
      </c>
      <c r="D124" s="2" t="s">
        <v>176</v>
      </c>
      <c r="E124" s="3">
        <v>42600</v>
      </c>
      <c r="F124" s="2" t="s">
        <v>177</v>
      </c>
      <c r="G124" s="2"/>
      <c r="H124" s="2" t="s">
        <v>17</v>
      </c>
      <c r="I124" s="3">
        <v>42660</v>
      </c>
      <c r="J124" s="2" t="str">
        <f t="shared" si="10"/>
        <v>https://docs.wto.org/imrd/directdoc.asp?DDFDocuments/t/G/TBTN16/ARE329.DOC</v>
      </c>
      <c r="K124" s="2" t="str">
        <f t="shared" si="11"/>
        <v>https://docs.wto.org/imrd/directdoc.asp?DDFDocuments/u/G/TBTN16/ARE329.DOC</v>
      </c>
      <c r="L124" s="2" t="str">
        <f t="shared" si="12"/>
        <v>https://docs.wto.org/imrd/directdoc.asp?DDFDocuments/v/G/TBTN16/ARE329.DOC</v>
      </c>
      <c r="M124" s="2" t="str">
        <f t="shared" si="13"/>
        <v>http://www.epingalert.org/#/details/G/TBT/N/ARE/329#G/TBT/N/BHR/450#G/TBT/N/KWT/332#G/TBT/N/OMN/270#G/TBT/N/QAT/446#G/TBT/N/SAU/952#G/TBT/N/YEM/52</v>
      </c>
      <c r="N124" s="2"/>
      <c r="O124" s="2"/>
    </row>
    <row r="125" spans="1:15" ht="135" outlineLevel="1" x14ac:dyDescent="0.25">
      <c r="A125" s="2" t="s">
        <v>180</v>
      </c>
      <c r="B125" s="4" t="s">
        <v>174</v>
      </c>
      <c r="C125" s="2" t="s">
        <v>175</v>
      </c>
      <c r="D125" s="2" t="s">
        <v>176</v>
      </c>
      <c r="E125" s="3">
        <v>42600</v>
      </c>
      <c r="F125" s="2" t="s">
        <v>177</v>
      </c>
      <c r="G125" s="2"/>
      <c r="H125" s="2" t="s">
        <v>17</v>
      </c>
      <c r="I125" s="3">
        <v>42660</v>
      </c>
      <c r="J125" s="2" t="str">
        <f t="shared" si="10"/>
        <v>https://docs.wto.org/imrd/directdoc.asp?DDFDocuments/t/G/TBTN16/ARE329.DOC</v>
      </c>
      <c r="K125" s="2" t="str">
        <f t="shared" si="11"/>
        <v>https://docs.wto.org/imrd/directdoc.asp?DDFDocuments/u/G/TBTN16/ARE329.DOC</v>
      </c>
      <c r="L125" s="2" t="str">
        <f t="shared" si="12"/>
        <v>https://docs.wto.org/imrd/directdoc.asp?DDFDocuments/v/G/TBTN16/ARE329.DOC</v>
      </c>
      <c r="M125" s="2" t="str">
        <f t="shared" si="13"/>
        <v>http://www.epingalert.org/#/details/G/TBT/N/ARE/329#G/TBT/N/BHR/450#G/TBT/N/KWT/332#G/TBT/N/OMN/270#G/TBT/N/QAT/446#G/TBT/N/SAU/952#G/TBT/N/YEM/52</v>
      </c>
      <c r="N125" s="2"/>
      <c r="O125" s="2"/>
    </row>
    <row r="126" spans="1:15" ht="135" outlineLevel="1" x14ac:dyDescent="0.25">
      <c r="A126" s="2" t="s">
        <v>144</v>
      </c>
      <c r="B126" s="4" t="s">
        <v>174</v>
      </c>
      <c r="C126" s="2" t="s">
        <v>175</v>
      </c>
      <c r="D126" s="2" t="s">
        <v>176</v>
      </c>
      <c r="E126" s="3">
        <v>42600</v>
      </c>
      <c r="F126" s="2" t="s">
        <v>177</v>
      </c>
      <c r="G126" s="2"/>
      <c r="H126" s="2" t="s">
        <v>17</v>
      </c>
      <c r="I126" s="3">
        <v>42660</v>
      </c>
      <c r="J126" s="2" t="str">
        <f t="shared" si="10"/>
        <v>https://docs.wto.org/imrd/directdoc.asp?DDFDocuments/t/G/TBTN16/ARE329.DOC</v>
      </c>
      <c r="K126" s="2" t="str">
        <f t="shared" si="11"/>
        <v>https://docs.wto.org/imrd/directdoc.asp?DDFDocuments/u/G/TBTN16/ARE329.DOC</v>
      </c>
      <c r="L126" s="2" t="str">
        <f t="shared" si="12"/>
        <v>https://docs.wto.org/imrd/directdoc.asp?DDFDocuments/v/G/TBTN16/ARE329.DOC</v>
      </c>
      <c r="M126" s="2" t="str">
        <f t="shared" si="13"/>
        <v>http://www.epingalert.org/#/details/G/TBT/N/ARE/329#G/TBT/N/BHR/450#G/TBT/N/KWT/332#G/TBT/N/OMN/270#G/TBT/N/QAT/446#G/TBT/N/SAU/952#G/TBT/N/YEM/52</v>
      </c>
      <c r="N126" s="2"/>
      <c r="O126" s="2"/>
    </row>
    <row r="127" spans="1:15" ht="135" outlineLevel="1" x14ac:dyDescent="0.25">
      <c r="A127" s="2" t="s">
        <v>181</v>
      </c>
      <c r="B127" s="4" t="s">
        <v>174</v>
      </c>
      <c r="C127" s="2" t="s">
        <v>182</v>
      </c>
      <c r="D127" s="2" t="s">
        <v>183</v>
      </c>
      <c r="E127" s="3">
        <v>42600</v>
      </c>
      <c r="F127" s="2" t="s">
        <v>177</v>
      </c>
      <c r="G127" s="2"/>
      <c r="H127" s="2" t="s">
        <v>17</v>
      </c>
      <c r="I127" s="3">
        <v>42660</v>
      </c>
      <c r="J127" s="2" t="str">
        <f t="shared" si="10"/>
        <v>https://docs.wto.org/imrd/directdoc.asp?DDFDocuments/t/G/TBTN16/ARE329.DOC</v>
      </c>
      <c r="K127" s="2" t="str">
        <f t="shared" si="11"/>
        <v>https://docs.wto.org/imrd/directdoc.asp?DDFDocuments/u/G/TBTN16/ARE329.DOC</v>
      </c>
      <c r="L127" s="2" t="str">
        <f t="shared" si="12"/>
        <v>https://docs.wto.org/imrd/directdoc.asp?DDFDocuments/v/G/TBTN16/ARE329.DOC</v>
      </c>
      <c r="M127" s="2" t="str">
        <f t="shared" si="13"/>
        <v>http://www.epingalert.org/#/details/G/TBT/N/ARE/329#G/TBT/N/BHR/450#G/TBT/N/KWT/332#G/TBT/N/OMN/270#G/TBT/N/QAT/446#G/TBT/N/SAU/952#G/TBT/N/YEM/52</v>
      </c>
      <c r="N127" s="2"/>
      <c r="O127" s="2"/>
    </row>
    <row r="128" spans="1:15" ht="135" outlineLevel="1" x14ac:dyDescent="0.25">
      <c r="A128" s="2" t="s">
        <v>184</v>
      </c>
      <c r="B128" s="4" t="s">
        <v>174</v>
      </c>
      <c r="C128" s="2" t="s">
        <v>175</v>
      </c>
      <c r="D128" s="2" t="s">
        <v>176</v>
      </c>
      <c r="E128" s="3">
        <v>42600</v>
      </c>
      <c r="F128" s="2" t="s">
        <v>177</v>
      </c>
      <c r="G128" s="2"/>
      <c r="H128" s="2" t="s">
        <v>17</v>
      </c>
      <c r="I128" s="3">
        <v>42660</v>
      </c>
      <c r="J128" s="2" t="str">
        <f t="shared" si="10"/>
        <v>https://docs.wto.org/imrd/directdoc.asp?DDFDocuments/t/G/TBTN16/ARE329.DOC</v>
      </c>
      <c r="K128" s="2" t="str">
        <f t="shared" si="11"/>
        <v>https://docs.wto.org/imrd/directdoc.asp?DDFDocuments/u/G/TBTN16/ARE329.DOC</v>
      </c>
      <c r="L128" s="2" t="str">
        <f t="shared" si="12"/>
        <v>https://docs.wto.org/imrd/directdoc.asp?DDFDocuments/v/G/TBTN16/ARE329.DOC</v>
      </c>
      <c r="M128" s="2" t="str">
        <f t="shared" si="13"/>
        <v>http://www.epingalert.org/#/details/G/TBT/N/ARE/329#G/TBT/N/BHR/450#G/TBT/N/KWT/332#G/TBT/N/OMN/270#G/TBT/N/QAT/446#G/TBT/N/SAU/952#G/TBT/N/YEM/52</v>
      </c>
      <c r="N128" s="2"/>
      <c r="O128" s="2"/>
    </row>
    <row r="129" spans="1:15" ht="135" outlineLevel="1" x14ac:dyDescent="0.25">
      <c r="A129" s="2" t="s">
        <v>173</v>
      </c>
      <c r="B129" s="4" t="s">
        <v>174</v>
      </c>
      <c r="C129" s="2" t="s">
        <v>175</v>
      </c>
      <c r="D129" s="2" t="s">
        <v>176</v>
      </c>
      <c r="E129" s="3">
        <v>42600</v>
      </c>
      <c r="F129" s="2" t="s">
        <v>177</v>
      </c>
      <c r="G129" s="2"/>
      <c r="H129" s="2" t="s">
        <v>17</v>
      </c>
      <c r="I129" s="2"/>
      <c r="J129" s="2" t="str">
        <f t="shared" si="10"/>
        <v>https://docs.wto.org/imrd/directdoc.asp?DDFDocuments/t/G/TBTN16/ARE329.DOC</v>
      </c>
      <c r="K129" s="2" t="str">
        <f t="shared" si="11"/>
        <v>https://docs.wto.org/imrd/directdoc.asp?DDFDocuments/u/G/TBTN16/ARE329.DOC</v>
      </c>
      <c r="L129" s="2" t="str">
        <f t="shared" si="12"/>
        <v>https://docs.wto.org/imrd/directdoc.asp?DDFDocuments/v/G/TBTN16/ARE329.DOC</v>
      </c>
      <c r="M129" s="2" t="str">
        <f t="shared" si="13"/>
        <v>http://www.epingalert.org/#/details/G/TBT/N/ARE/329#G/TBT/N/BHR/450#G/TBT/N/KWT/332#G/TBT/N/OMN/270#G/TBT/N/QAT/446#G/TBT/N/SAU/952#G/TBT/N/YEM/52</v>
      </c>
      <c r="N129" s="2"/>
      <c r="O129" s="2"/>
    </row>
    <row r="130" spans="1:15" ht="315" outlineLevel="1" x14ac:dyDescent="0.25">
      <c r="A130" s="2" t="s">
        <v>185</v>
      </c>
      <c r="B130" s="4" t="s">
        <v>186</v>
      </c>
      <c r="C130" s="2" t="s">
        <v>187</v>
      </c>
      <c r="D130" s="2" t="s">
        <v>188</v>
      </c>
      <c r="E130" s="3">
        <v>42598</v>
      </c>
      <c r="F130" s="2" t="s">
        <v>189</v>
      </c>
      <c r="G130" s="2" t="s">
        <v>190</v>
      </c>
      <c r="H130" s="2" t="s">
        <v>30</v>
      </c>
      <c r="I130" s="3">
        <v>42658</v>
      </c>
      <c r="J130" s="2" t="str">
        <f>HYPERLINK("https://docs.wto.org/imrd/directdoc.asp?DDFDocuments/t/G/TBTN16/EGY162.DOC")</f>
        <v>https://docs.wto.org/imrd/directdoc.asp?DDFDocuments/t/G/TBTN16/EGY162.DOC</v>
      </c>
      <c r="K130" s="2" t="str">
        <f>HYPERLINK("https://docs.wto.org/imrd/directdoc.asp?DDFDocuments/u/G/TBTN16/EGY162.DOC")</f>
        <v>https://docs.wto.org/imrd/directdoc.asp?DDFDocuments/u/G/TBTN16/EGY162.DOC</v>
      </c>
      <c r="L130" s="2" t="str">
        <f>HYPERLINK("https://docs.wto.org/imrd/directdoc.asp?DDFDocuments/v/G/TBTN16/EGY162.DOC")</f>
        <v>https://docs.wto.org/imrd/directdoc.asp?DDFDocuments/v/G/TBTN16/EGY162.DOC</v>
      </c>
      <c r="M130" s="2" t="str">
        <f>HYPERLINK("http://www.epingalert.org/#/details/G/TBT/N/EGY/162")</f>
        <v>http://www.epingalert.org/#/details/G/TBT/N/EGY/162</v>
      </c>
      <c r="N130" s="2"/>
      <c r="O130" s="2"/>
    </row>
    <row r="131" spans="1:15" ht="409.5" outlineLevel="1" x14ac:dyDescent="0.25">
      <c r="A131" s="2" t="s">
        <v>191</v>
      </c>
      <c r="B131" s="4" t="s">
        <v>192</v>
      </c>
      <c r="C131" s="2" t="s">
        <v>193</v>
      </c>
      <c r="D131" s="2" t="s">
        <v>194</v>
      </c>
      <c r="E131" s="3">
        <v>42597</v>
      </c>
      <c r="F131" s="2">
        <v>67.040000000000006</v>
      </c>
      <c r="G131" s="2" t="s">
        <v>103</v>
      </c>
      <c r="H131" s="2" t="s">
        <v>54</v>
      </c>
      <c r="I131" s="3">
        <v>42657</v>
      </c>
      <c r="J131" s="2" t="str">
        <f>HYPERLINK("https://docs.wto.org/imrd/directdoc.asp?DDFDocuments/t/G/TBTN16/GTM92.DOC")</f>
        <v>https://docs.wto.org/imrd/directdoc.asp?DDFDocuments/t/G/TBTN16/GTM92.DOC</v>
      </c>
      <c r="K131" s="2" t="str">
        <f>HYPERLINK("https://docs.wto.org/imrd/directdoc.asp?DDFDocuments/u/G/TBTN16/GTM92.DOC")</f>
        <v>https://docs.wto.org/imrd/directdoc.asp?DDFDocuments/u/G/TBTN16/GTM92.DOC</v>
      </c>
      <c r="L131" s="2" t="str">
        <f>HYPERLINK("https://docs.wto.org/imrd/directdoc.asp?DDFDocuments/v/G/TBTN16/GTM92.DOC")</f>
        <v>https://docs.wto.org/imrd/directdoc.asp?DDFDocuments/v/G/TBTN16/GTM92.DOC</v>
      </c>
      <c r="M131" s="2" t="str">
        <f>HYPERLINK("http://www.epingalert.org/#/details/G/TBT/N/GTM/92")</f>
        <v>http://www.epingalert.org/#/details/G/TBT/N/GTM/92</v>
      </c>
      <c r="N131" s="2"/>
      <c r="O131" s="2"/>
    </row>
    <row r="132" spans="1:15" ht="225" outlineLevel="1" x14ac:dyDescent="0.25">
      <c r="A132" s="2" t="s">
        <v>158</v>
      </c>
      <c r="B132" s="4" t="s">
        <v>1652</v>
      </c>
      <c r="C132" s="2" t="s">
        <v>1653</v>
      </c>
      <c r="D132" s="2" t="s">
        <v>1654</v>
      </c>
      <c r="E132" s="3">
        <v>42593</v>
      </c>
      <c r="F132" s="2" t="s">
        <v>1655</v>
      </c>
      <c r="G132" s="2" t="s">
        <v>1656</v>
      </c>
      <c r="H132" s="2" t="s">
        <v>17</v>
      </c>
      <c r="I132" s="3">
        <v>42651</v>
      </c>
      <c r="J132" s="2" t="str">
        <f>HYPERLINK("https://docs.wto.org/imrd/directdoc.asp?DDFDocuments/t/G/TBTN16/CRI161.DOC")</f>
        <v>https://docs.wto.org/imrd/directdoc.asp?DDFDocuments/t/G/TBTN16/CRI161.DOC</v>
      </c>
      <c r="K132" s="2" t="str">
        <f>HYPERLINK("https://docs.wto.org/imrd/directdoc.asp?DDFDocuments/u/G/TBTN16/CRI161.DOC")</f>
        <v>https://docs.wto.org/imrd/directdoc.asp?DDFDocuments/u/G/TBTN16/CRI161.DOC</v>
      </c>
      <c r="L132" s="2" t="str">
        <f>HYPERLINK("https://docs.wto.org/imrd/directdoc.asp?DDFDocuments/v/G/TBTN16/CRI161.DOC")</f>
        <v>https://docs.wto.org/imrd/directdoc.asp?DDFDocuments/v/G/TBTN16/CRI161.DOC</v>
      </c>
      <c r="M132" s="2" t="str">
        <f>HYPERLINK("http://www.epingalert.org/#/details/G/TBT/N/CRI/161")</f>
        <v>http://www.epingalert.org/#/details/G/TBT/N/CRI/161</v>
      </c>
      <c r="N132" s="2"/>
      <c r="O132" s="2"/>
    </row>
    <row r="133" spans="1:15" ht="120" outlineLevel="1" x14ac:dyDescent="0.25">
      <c r="A133" s="2" t="s">
        <v>312</v>
      </c>
      <c r="B133" s="4" t="s">
        <v>1973</v>
      </c>
      <c r="C133" s="2" t="s">
        <v>1974</v>
      </c>
      <c r="D133" s="2" t="s">
        <v>1975</v>
      </c>
      <c r="E133" s="3">
        <v>42592</v>
      </c>
      <c r="F133" s="2" t="s">
        <v>1976</v>
      </c>
      <c r="G133" s="2" t="s">
        <v>1977</v>
      </c>
      <c r="H133" s="2" t="s">
        <v>198</v>
      </c>
      <c r="I133" s="3">
        <v>42675</v>
      </c>
      <c r="J133" s="2" t="str">
        <f>HYPERLINK("https://docs.wto.org/imrd/directdoc.asp?DDFDocuments/t/G/TBTN16/UGA563.DOC")</f>
        <v>https://docs.wto.org/imrd/directdoc.asp?DDFDocuments/t/G/TBTN16/UGA563.DOC</v>
      </c>
      <c r="K133" s="2" t="str">
        <f>HYPERLINK("https://docs.wto.org/imrd/directdoc.asp?DDFDocuments/u/G/TBTN16/UGA563.DOC")</f>
        <v>https://docs.wto.org/imrd/directdoc.asp?DDFDocuments/u/G/TBTN16/UGA563.DOC</v>
      </c>
      <c r="L133" s="2" t="str">
        <f>HYPERLINK("https://docs.wto.org/imrd/directdoc.asp?DDFDocuments/v/G/TBTN16/UGA563.DOC")</f>
        <v>https://docs.wto.org/imrd/directdoc.asp?DDFDocuments/v/G/TBTN16/UGA563.DOC</v>
      </c>
      <c r="M133" s="2" t="str">
        <f>HYPERLINK("http://www.epingalert.org/#/details/G/TBT/N/UGA/563")</f>
        <v>http://www.epingalert.org/#/details/G/TBT/N/UGA/563</v>
      </c>
      <c r="N133" s="2"/>
      <c r="O133" s="2"/>
    </row>
    <row r="134" spans="1:15" ht="120" outlineLevel="1" x14ac:dyDescent="0.25">
      <c r="A134" s="2" t="s">
        <v>312</v>
      </c>
      <c r="B134" s="4" t="s">
        <v>1978</v>
      </c>
      <c r="C134" s="2" t="s">
        <v>1979</v>
      </c>
      <c r="D134" s="2" t="s">
        <v>1980</v>
      </c>
      <c r="E134" s="3">
        <v>42592</v>
      </c>
      <c r="F134" s="2" t="s">
        <v>1981</v>
      </c>
      <c r="G134" s="2" t="s">
        <v>1982</v>
      </c>
      <c r="H134" s="2" t="s">
        <v>198</v>
      </c>
      <c r="I134" s="3">
        <v>42675</v>
      </c>
      <c r="J134" s="2" t="str">
        <f>HYPERLINK("https://docs.wto.org/imrd/directdoc.asp?DDFDocuments/t/G/TBTN16/UGA562.DOC")</f>
        <v>https://docs.wto.org/imrd/directdoc.asp?DDFDocuments/t/G/TBTN16/UGA562.DOC</v>
      </c>
      <c r="K134" s="2" t="str">
        <f>HYPERLINK("https://docs.wto.org/imrd/directdoc.asp?DDFDocuments/u/G/TBTN16/UGA562.DOC")</f>
        <v>https://docs.wto.org/imrd/directdoc.asp?DDFDocuments/u/G/TBTN16/UGA562.DOC</v>
      </c>
      <c r="L134" s="2" t="str">
        <f>HYPERLINK("https://docs.wto.org/imrd/directdoc.asp?DDFDocuments/v/G/TBTN16/UGA562.DOC")</f>
        <v>https://docs.wto.org/imrd/directdoc.asp?DDFDocuments/v/G/TBTN16/UGA562.DOC</v>
      </c>
      <c r="M134" s="2" t="str">
        <f>HYPERLINK("http://www.epingalert.org/#/details/G/TBT/N/UGA/562")</f>
        <v>http://www.epingalert.org/#/details/G/TBT/N/UGA/562</v>
      </c>
      <c r="N134" s="2"/>
      <c r="O134" s="2"/>
    </row>
    <row r="135" spans="1:15" ht="120" outlineLevel="1" x14ac:dyDescent="0.25">
      <c r="A135" s="2" t="s">
        <v>312</v>
      </c>
      <c r="B135" s="4" t="s">
        <v>1983</v>
      </c>
      <c r="C135" s="2" t="s">
        <v>1984</v>
      </c>
      <c r="D135" s="2" t="s">
        <v>1985</v>
      </c>
      <c r="E135" s="3">
        <v>42592</v>
      </c>
      <c r="F135" s="2" t="s">
        <v>1986</v>
      </c>
      <c r="G135" s="2" t="s">
        <v>1987</v>
      </c>
      <c r="H135" s="2" t="s">
        <v>198</v>
      </c>
      <c r="I135" s="3">
        <v>42675</v>
      </c>
      <c r="J135" s="2" t="str">
        <f>HYPERLINK("https://docs.wto.org/imrd/directdoc.asp?DDFDocuments/t/G/TBTN16/UGA561.DOC")</f>
        <v>https://docs.wto.org/imrd/directdoc.asp?DDFDocuments/t/G/TBTN16/UGA561.DOC</v>
      </c>
      <c r="K135" s="2" t="str">
        <f>HYPERLINK("https://docs.wto.org/imrd/directdoc.asp?DDFDocuments/u/G/TBTN16/UGA561.DOC")</f>
        <v>https://docs.wto.org/imrd/directdoc.asp?DDFDocuments/u/G/TBTN16/UGA561.DOC</v>
      </c>
      <c r="L135" s="2" t="str">
        <f>HYPERLINK("https://docs.wto.org/imrd/directdoc.asp?DDFDocuments/v/G/TBTN16/UGA561.DOC")</f>
        <v>https://docs.wto.org/imrd/directdoc.asp?DDFDocuments/v/G/TBTN16/UGA561.DOC</v>
      </c>
      <c r="M135" s="2" t="str">
        <f>HYPERLINK("http://www.epingalert.org/#/details/G/TBT/N/UGA/561")</f>
        <v>http://www.epingalert.org/#/details/G/TBT/N/UGA/561</v>
      </c>
      <c r="N135" s="2"/>
      <c r="O135" s="2"/>
    </row>
    <row r="136" spans="1:15" ht="120" outlineLevel="1" x14ac:dyDescent="0.25">
      <c r="A136" s="2" t="s">
        <v>312</v>
      </c>
      <c r="B136" s="4" t="s">
        <v>1988</v>
      </c>
      <c r="C136" s="2" t="s">
        <v>1989</v>
      </c>
      <c r="D136" s="2" t="s">
        <v>1990</v>
      </c>
      <c r="E136" s="3">
        <v>42592</v>
      </c>
      <c r="F136" s="2" t="s">
        <v>1991</v>
      </c>
      <c r="G136" s="2" t="s">
        <v>1992</v>
      </c>
      <c r="H136" s="2" t="s">
        <v>198</v>
      </c>
      <c r="I136" s="3">
        <v>42675</v>
      </c>
      <c r="J136" s="2" t="str">
        <f>HYPERLINK("https://docs.wto.org/imrd/directdoc.asp?DDFDocuments/t/G/TBTN16/UGA560.DOC")</f>
        <v>https://docs.wto.org/imrd/directdoc.asp?DDFDocuments/t/G/TBTN16/UGA560.DOC</v>
      </c>
      <c r="K136" s="2" t="str">
        <f>HYPERLINK("https://docs.wto.org/imrd/directdoc.asp?DDFDocuments/u/G/TBTN16/UGA560.DOC")</f>
        <v>https://docs.wto.org/imrd/directdoc.asp?DDFDocuments/u/G/TBTN16/UGA560.DOC</v>
      </c>
      <c r="L136" s="2" t="str">
        <f>HYPERLINK("https://docs.wto.org/imrd/directdoc.asp?DDFDocuments/v/G/TBTN16/UGA560.DOC")</f>
        <v>https://docs.wto.org/imrd/directdoc.asp?DDFDocuments/v/G/TBTN16/UGA560.DOC</v>
      </c>
      <c r="M136" s="2" t="str">
        <f>HYPERLINK("http://www.epingalert.org/#/details/G/TBT/N/UGA/560")</f>
        <v>http://www.epingalert.org/#/details/G/TBT/N/UGA/560</v>
      </c>
      <c r="N136" s="2"/>
      <c r="O136" s="2"/>
    </row>
    <row r="137" spans="1:15" ht="120" outlineLevel="1" x14ac:dyDescent="0.25">
      <c r="A137" s="2" t="s">
        <v>312</v>
      </c>
      <c r="B137" s="4" t="s">
        <v>1993</v>
      </c>
      <c r="C137" s="2" t="s">
        <v>1994</v>
      </c>
      <c r="D137" s="2" t="s">
        <v>1995</v>
      </c>
      <c r="E137" s="3">
        <v>42592</v>
      </c>
      <c r="F137" s="2" t="s">
        <v>1996</v>
      </c>
      <c r="G137" s="2" t="s">
        <v>1997</v>
      </c>
      <c r="H137" s="2" t="s">
        <v>198</v>
      </c>
      <c r="I137" s="3">
        <v>42675</v>
      </c>
      <c r="J137" s="2" t="str">
        <f>HYPERLINK("https://docs.wto.org/imrd/directdoc.asp?DDFDocuments/t/G/TBTN16/UGA558.DOC")</f>
        <v>https://docs.wto.org/imrd/directdoc.asp?DDFDocuments/t/G/TBTN16/UGA558.DOC</v>
      </c>
      <c r="K137" s="2" t="str">
        <f>HYPERLINK("https://docs.wto.org/imrd/directdoc.asp?DDFDocuments/u/G/TBTN16/UGA558.DOC")</f>
        <v>https://docs.wto.org/imrd/directdoc.asp?DDFDocuments/u/G/TBTN16/UGA558.DOC</v>
      </c>
      <c r="L137" s="2" t="str">
        <f>HYPERLINK("https://docs.wto.org/imrd/directdoc.asp?DDFDocuments/v/G/TBTN16/UGA558.DOC")</f>
        <v>https://docs.wto.org/imrd/directdoc.asp?DDFDocuments/v/G/TBTN16/UGA558.DOC</v>
      </c>
      <c r="M137" s="2" t="str">
        <f>HYPERLINK("http://www.epingalert.org/#/details/G/TBT/N/UGA/558")</f>
        <v>http://www.epingalert.org/#/details/G/TBT/N/UGA/558</v>
      </c>
      <c r="N137" s="2"/>
      <c r="O137" s="2"/>
    </row>
    <row r="138" spans="1:15" ht="120" outlineLevel="1" x14ac:dyDescent="0.25">
      <c r="A138" s="2" t="s">
        <v>312</v>
      </c>
      <c r="B138" s="4" t="s">
        <v>1998</v>
      </c>
      <c r="C138" s="2" t="s">
        <v>1999</v>
      </c>
      <c r="D138" s="2" t="s">
        <v>2000</v>
      </c>
      <c r="E138" s="3">
        <v>42592</v>
      </c>
      <c r="F138" s="2" t="s">
        <v>2001</v>
      </c>
      <c r="G138" s="2" t="s">
        <v>2002</v>
      </c>
      <c r="H138" s="2" t="s">
        <v>198</v>
      </c>
      <c r="I138" s="3">
        <v>42675</v>
      </c>
      <c r="J138" s="2" t="str">
        <f>HYPERLINK("https://docs.wto.org/imrd/directdoc.asp?DDFDocuments/t/G/TBTN16/UGA557.DOC")</f>
        <v>https://docs.wto.org/imrd/directdoc.asp?DDFDocuments/t/G/TBTN16/UGA557.DOC</v>
      </c>
      <c r="K138" s="2" t="str">
        <f>HYPERLINK("https://docs.wto.org/imrd/directdoc.asp?DDFDocuments/u/G/TBTN16/UGA557.DOC")</f>
        <v>https://docs.wto.org/imrd/directdoc.asp?DDFDocuments/u/G/TBTN16/UGA557.DOC</v>
      </c>
      <c r="L138" s="2" t="str">
        <f>HYPERLINK("https://docs.wto.org/imrd/directdoc.asp?DDFDocuments/v/G/TBTN16/UGA557.DOC")</f>
        <v>https://docs.wto.org/imrd/directdoc.asp?DDFDocuments/v/G/TBTN16/UGA557.DOC</v>
      </c>
      <c r="M138" s="2" t="str">
        <f>HYPERLINK("http://www.epingalert.org/#/details/G/TBT/N/UGA/557")</f>
        <v>http://www.epingalert.org/#/details/G/TBT/N/UGA/557</v>
      </c>
      <c r="N138" s="2"/>
      <c r="O138" s="2"/>
    </row>
    <row r="139" spans="1:15" ht="120" outlineLevel="1" x14ac:dyDescent="0.25">
      <c r="A139" s="2" t="s">
        <v>312</v>
      </c>
      <c r="B139" s="4" t="s">
        <v>2003</v>
      </c>
      <c r="C139" s="2" t="s">
        <v>2004</v>
      </c>
      <c r="D139" s="2" t="s">
        <v>2005</v>
      </c>
      <c r="E139" s="3">
        <v>42592</v>
      </c>
      <c r="F139" s="2" t="s">
        <v>2006</v>
      </c>
      <c r="G139" s="2" t="s">
        <v>2007</v>
      </c>
      <c r="H139" s="2" t="s">
        <v>198</v>
      </c>
      <c r="I139" s="3">
        <v>42675</v>
      </c>
      <c r="J139" s="2" t="str">
        <f>HYPERLINK("https://docs.wto.org/imrd/directdoc.asp?DDFDocuments/t/G/TBTN16/UGA556.DOC")</f>
        <v>https://docs.wto.org/imrd/directdoc.asp?DDFDocuments/t/G/TBTN16/UGA556.DOC</v>
      </c>
      <c r="K139" s="2" t="str">
        <f>HYPERLINK("https://docs.wto.org/imrd/directdoc.asp?DDFDocuments/u/G/TBTN16/UGA556.DOC")</f>
        <v>https://docs.wto.org/imrd/directdoc.asp?DDFDocuments/u/G/TBTN16/UGA556.DOC</v>
      </c>
      <c r="L139" s="2" t="str">
        <f>HYPERLINK("https://docs.wto.org/imrd/directdoc.asp?DDFDocuments/v/G/TBTN16/UGA556.DOC")</f>
        <v>https://docs.wto.org/imrd/directdoc.asp?DDFDocuments/v/G/TBTN16/UGA556.DOC</v>
      </c>
      <c r="M139" s="2" t="str">
        <f>HYPERLINK("http://www.epingalert.org/#/details/G/TBT/N/UGA/556")</f>
        <v>http://www.epingalert.org/#/details/G/TBT/N/UGA/556</v>
      </c>
      <c r="N139" s="2"/>
      <c r="O139" s="2"/>
    </row>
    <row r="140" spans="1:15" ht="120" outlineLevel="1" x14ac:dyDescent="0.25">
      <c r="A140" s="2" t="s">
        <v>184</v>
      </c>
      <c r="B140" s="4" t="s">
        <v>195</v>
      </c>
      <c r="C140" s="2" t="s">
        <v>196</v>
      </c>
      <c r="D140" s="2" t="s">
        <v>197</v>
      </c>
      <c r="E140" s="3">
        <v>42585</v>
      </c>
      <c r="F140" s="2"/>
      <c r="G140" s="2" t="s">
        <v>23</v>
      </c>
      <c r="H140" s="2" t="s">
        <v>198</v>
      </c>
      <c r="I140" s="3">
        <v>42645</v>
      </c>
      <c r="J140" s="2" t="str">
        <f>HYPERLINK("https://docs.wto.org/imrd/directdoc.asp?DDFDocuments/t/G/TBTN16/ARE325.DOC")</f>
        <v>https://docs.wto.org/imrd/directdoc.asp?DDFDocuments/t/G/TBTN16/ARE325.DOC</v>
      </c>
      <c r="K140" s="2" t="str">
        <f>HYPERLINK("https://docs.wto.org/imrd/directdoc.asp?DDFDocuments/u/G/TBTN16/ARE325.DOC")</f>
        <v>https://docs.wto.org/imrd/directdoc.asp?DDFDocuments/u/G/TBTN16/ARE325.DOC</v>
      </c>
      <c r="L140" s="2" t="str">
        <f>HYPERLINK("https://docs.wto.org/imrd/directdoc.asp?DDFDocuments/v/G/TBTN16/ARE325.DOC")</f>
        <v>https://docs.wto.org/imrd/directdoc.asp?DDFDocuments/v/G/TBTN16/ARE325.DOC</v>
      </c>
      <c r="M140" s="2" t="str">
        <f>HYPERLINK("http://www.epingalert.org/#/details/G/TBT/N/ARE/325")</f>
        <v>http://www.epingalert.org/#/details/G/TBT/N/ARE/325</v>
      </c>
      <c r="N140" s="2"/>
      <c r="O140" s="2"/>
    </row>
    <row r="141" spans="1:15" ht="165" outlineLevel="1" x14ac:dyDescent="0.25">
      <c r="A141" s="2" t="s">
        <v>184</v>
      </c>
      <c r="B141" s="4" t="s">
        <v>199</v>
      </c>
      <c r="C141" s="2" t="s">
        <v>200</v>
      </c>
      <c r="D141" s="2" t="s">
        <v>201</v>
      </c>
      <c r="E141" s="3">
        <v>42585</v>
      </c>
      <c r="F141" s="2"/>
      <c r="G141" s="2" t="s">
        <v>23</v>
      </c>
      <c r="H141" s="2" t="s">
        <v>202</v>
      </c>
      <c r="I141" s="3">
        <v>42645</v>
      </c>
      <c r="J141" s="2" t="str">
        <f>HYPERLINK("https://docs.wto.org/imrd/directdoc.asp?DDFDocuments/t/G/TBTN16/ARE324.DOC")</f>
        <v>https://docs.wto.org/imrd/directdoc.asp?DDFDocuments/t/G/TBTN16/ARE324.DOC</v>
      </c>
      <c r="K141" s="2" t="str">
        <f>HYPERLINK("https://docs.wto.org/imrd/directdoc.asp?DDFDocuments/u/G/TBTN16/ARE324.DOC")</f>
        <v>https://docs.wto.org/imrd/directdoc.asp?DDFDocuments/u/G/TBTN16/ARE324.DOC</v>
      </c>
      <c r="L141" s="2" t="str">
        <f>HYPERLINK("https://docs.wto.org/imrd/directdoc.asp?DDFDocuments/v/G/TBTN16/ARE324.DOC")</f>
        <v>https://docs.wto.org/imrd/directdoc.asp?DDFDocuments/v/G/TBTN16/ARE324.DOC</v>
      </c>
      <c r="M141" s="2" t="str">
        <f>HYPERLINK("http://www.epingalert.org/#/details/G/TBT/N/ARE/324")</f>
        <v>http://www.epingalert.org/#/details/G/TBT/N/ARE/324</v>
      </c>
      <c r="N141" s="2"/>
      <c r="O141" s="2"/>
    </row>
    <row r="142" spans="1:15" ht="120" outlineLevel="1" x14ac:dyDescent="0.25">
      <c r="A142" s="2" t="s">
        <v>312</v>
      </c>
      <c r="B142" s="4" t="s">
        <v>2008</v>
      </c>
      <c r="C142" s="2" t="s">
        <v>2009</v>
      </c>
      <c r="D142" s="2" t="s">
        <v>2010</v>
      </c>
      <c r="E142" s="3">
        <v>42584</v>
      </c>
      <c r="F142" s="2" t="s">
        <v>2011</v>
      </c>
      <c r="G142" s="2" t="s">
        <v>2012</v>
      </c>
      <c r="H142" s="2" t="s">
        <v>198</v>
      </c>
      <c r="I142" s="3">
        <v>42644</v>
      </c>
      <c r="J142" s="2" t="str">
        <f>HYPERLINK("https://docs.wto.org/imrd/directdoc.asp?DDFDocuments/t/G/TBTN16/UGA555.DOC")</f>
        <v>https://docs.wto.org/imrd/directdoc.asp?DDFDocuments/t/G/TBTN16/UGA555.DOC</v>
      </c>
      <c r="K142" s="2" t="str">
        <f>HYPERLINK("https://docs.wto.org/imrd/directdoc.asp?DDFDocuments/u/G/TBTN16/UGA555.DOC")</f>
        <v>https://docs.wto.org/imrd/directdoc.asp?DDFDocuments/u/G/TBTN16/UGA555.DOC</v>
      </c>
      <c r="L142" s="2" t="str">
        <f>HYPERLINK("https://docs.wto.org/imrd/directdoc.asp?DDFDocuments/v/G/TBTN16/UGA555.DOC")</f>
        <v>https://docs.wto.org/imrd/directdoc.asp?DDFDocuments/v/G/TBTN16/UGA555.DOC</v>
      </c>
      <c r="M142" s="2" t="str">
        <f>HYPERLINK("http://www.epingalert.org/#/details/G/TBT/N/UGA/555")</f>
        <v>http://www.epingalert.org/#/details/G/TBT/N/UGA/555</v>
      </c>
      <c r="N142" s="2"/>
      <c r="O142" s="2"/>
    </row>
    <row r="143" spans="1:15" ht="120" outlineLevel="1" x14ac:dyDescent="0.25">
      <c r="A143" s="2" t="s">
        <v>312</v>
      </c>
      <c r="B143" s="4" t="s">
        <v>2013</v>
      </c>
      <c r="C143" s="2" t="s">
        <v>2014</v>
      </c>
      <c r="D143" s="2" t="s">
        <v>2015</v>
      </c>
      <c r="E143" s="3">
        <v>42584</v>
      </c>
      <c r="F143" s="2" t="s">
        <v>2016</v>
      </c>
      <c r="G143" s="2" t="s">
        <v>2017</v>
      </c>
      <c r="H143" s="2" t="s">
        <v>198</v>
      </c>
      <c r="I143" s="3">
        <v>42644</v>
      </c>
      <c r="J143" s="2" t="str">
        <f>HYPERLINK("https://docs.wto.org/imrd/directdoc.asp?DDFDocuments/t/G/TBTN16/UGA554.DOC")</f>
        <v>https://docs.wto.org/imrd/directdoc.asp?DDFDocuments/t/G/TBTN16/UGA554.DOC</v>
      </c>
      <c r="K143" s="2" t="str">
        <f>HYPERLINK("https://docs.wto.org/imrd/directdoc.asp?DDFDocuments/u/G/TBTN16/UGA554.DOC")</f>
        <v>https://docs.wto.org/imrd/directdoc.asp?DDFDocuments/u/G/TBTN16/UGA554.DOC</v>
      </c>
      <c r="L143" s="2" t="str">
        <f>HYPERLINK("https://docs.wto.org/imrd/directdoc.asp?DDFDocuments/v/G/TBTN16/UGA554.DOC")</f>
        <v>https://docs.wto.org/imrd/directdoc.asp?DDFDocuments/v/G/TBTN16/UGA554.DOC</v>
      </c>
      <c r="M143" s="2" t="str">
        <f>HYPERLINK("http://www.epingalert.org/#/details/G/TBT/N/UGA/554")</f>
        <v>http://www.epingalert.org/#/details/G/TBT/N/UGA/554</v>
      </c>
      <c r="N143" s="2"/>
      <c r="O143" s="2"/>
    </row>
    <row r="144" spans="1:15" ht="120" outlineLevel="1" x14ac:dyDescent="0.25">
      <c r="A144" s="2" t="s">
        <v>312</v>
      </c>
      <c r="B144" s="4" t="s">
        <v>2018</v>
      </c>
      <c r="C144" s="2" t="s">
        <v>2019</v>
      </c>
      <c r="D144" s="2" t="s">
        <v>2020</v>
      </c>
      <c r="E144" s="3">
        <v>42584</v>
      </c>
      <c r="F144" s="2" t="s">
        <v>2021</v>
      </c>
      <c r="G144" s="2" t="s">
        <v>2022</v>
      </c>
      <c r="H144" s="2" t="s">
        <v>198</v>
      </c>
      <c r="I144" s="3">
        <v>42644</v>
      </c>
      <c r="J144" s="2" t="str">
        <f>HYPERLINK("https://docs.wto.org/imrd/directdoc.asp?DDFDocuments/t/G/TBTN16/UGA551.DOC")</f>
        <v>https://docs.wto.org/imrd/directdoc.asp?DDFDocuments/t/G/TBTN16/UGA551.DOC</v>
      </c>
      <c r="K144" s="2" t="str">
        <f>HYPERLINK("https://docs.wto.org/imrd/directdoc.asp?DDFDocuments/u/G/TBTN16/UGA551.DOC")</f>
        <v>https://docs.wto.org/imrd/directdoc.asp?DDFDocuments/u/G/TBTN16/UGA551.DOC</v>
      </c>
      <c r="L144" s="2" t="str">
        <f>HYPERLINK("https://docs.wto.org/imrd/directdoc.asp?DDFDocuments/v/G/TBTN16/UGA551.DOC")</f>
        <v>https://docs.wto.org/imrd/directdoc.asp?DDFDocuments/v/G/TBTN16/UGA551.DOC</v>
      </c>
      <c r="M144" s="2" t="str">
        <f>HYPERLINK("http://www.epingalert.org/#/details/G/TBT/N/UGA/551")</f>
        <v>http://www.epingalert.org/#/details/G/TBT/N/UGA/551</v>
      </c>
      <c r="N144" s="2"/>
      <c r="O144" s="2"/>
    </row>
    <row r="145" spans="1:15" ht="120" outlineLevel="1" x14ac:dyDescent="0.25">
      <c r="A145" s="2" t="s">
        <v>312</v>
      </c>
      <c r="B145" s="4" t="s">
        <v>2023</v>
      </c>
      <c r="C145" s="2" t="s">
        <v>2024</v>
      </c>
      <c r="D145" s="2" t="s">
        <v>2025</v>
      </c>
      <c r="E145" s="3">
        <v>42584</v>
      </c>
      <c r="F145" s="2"/>
      <c r="G145" s="2" t="s">
        <v>2026</v>
      </c>
      <c r="H145" s="2" t="s">
        <v>198</v>
      </c>
      <c r="I145" s="3">
        <v>42644</v>
      </c>
      <c r="J145" s="2" t="str">
        <f>HYPERLINK("https://docs.wto.org/imrd/directdoc.asp?DDFDocuments/t/G/TBTN16/UGA546.DOC")</f>
        <v>https://docs.wto.org/imrd/directdoc.asp?DDFDocuments/t/G/TBTN16/UGA546.DOC</v>
      </c>
      <c r="K145" s="2" t="str">
        <f>HYPERLINK("https://docs.wto.org/imrd/directdoc.asp?DDFDocuments/u/G/TBTN16/UGA546.DOC")</f>
        <v>https://docs.wto.org/imrd/directdoc.asp?DDFDocuments/u/G/TBTN16/UGA546.DOC</v>
      </c>
      <c r="L145" s="2" t="str">
        <f>HYPERLINK("https://docs.wto.org/imrd/directdoc.asp?DDFDocuments/v/G/TBTN16/UGA546.DOC")</f>
        <v>https://docs.wto.org/imrd/directdoc.asp?DDFDocuments/v/G/TBTN16/UGA546.DOC</v>
      </c>
      <c r="M145" s="2" t="str">
        <f>HYPERLINK("http://www.epingalert.org/#/details/G/TBT/N/UGA/546")</f>
        <v>http://www.epingalert.org/#/details/G/TBT/N/UGA/546</v>
      </c>
      <c r="N145" s="2"/>
      <c r="O145" s="2"/>
    </row>
    <row r="146" spans="1:15" ht="120" outlineLevel="1" x14ac:dyDescent="0.25">
      <c r="A146" s="2" t="s">
        <v>312</v>
      </c>
      <c r="B146" s="4" t="s">
        <v>2027</v>
      </c>
      <c r="C146" s="2" t="s">
        <v>2028</v>
      </c>
      <c r="D146" s="2" t="s">
        <v>2029</v>
      </c>
      <c r="E146" s="3">
        <v>42584</v>
      </c>
      <c r="F146" s="2" t="s">
        <v>2030</v>
      </c>
      <c r="G146" s="2" t="s">
        <v>2031</v>
      </c>
      <c r="H146" s="2" t="s">
        <v>198</v>
      </c>
      <c r="I146" s="3">
        <v>42644</v>
      </c>
      <c r="J146" s="2" t="str">
        <f>HYPERLINK("https://docs.wto.org/imrd/directdoc.asp?DDFDocuments/t/G/TBTN16/UGA545.DOC")</f>
        <v>https://docs.wto.org/imrd/directdoc.asp?DDFDocuments/t/G/TBTN16/UGA545.DOC</v>
      </c>
      <c r="K146" s="2" t="str">
        <f>HYPERLINK("https://docs.wto.org/imrd/directdoc.asp?DDFDocuments/u/G/TBTN16/UGA545.DOC")</f>
        <v>https://docs.wto.org/imrd/directdoc.asp?DDFDocuments/u/G/TBTN16/UGA545.DOC</v>
      </c>
      <c r="L146" s="2" t="str">
        <f>HYPERLINK("https://docs.wto.org/imrd/directdoc.asp?DDFDocuments/v/G/TBTN16/UGA545.DOC")</f>
        <v>https://docs.wto.org/imrd/directdoc.asp?DDFDocuments/v/G/TBTN16/UGA545.DOC</v>
      </c>
      <c r="M146" s="2" t="str">
        <f>HYPERLINK("http://www.epingalert.org/#/details/G/TBT/N/UGA/545")</f>
        <v>http://www.epingalert.org/#/details/G/TBT/N/UGA/545</v>
      </c>
      <c r="N146" s="2"/>
      <c r="O146" s="2"/>
    </row>
    <row r="147" spans="1:15" ht="270" outlineLevel="1" x14ac:dyDescent="0.25">
      <c r="A147" s="2" t="s">
        <v>1129</v>
      </c>
      <c r="B147" s="4" t="s">
        <v>2032</v>
      </c>
      <c r="C147" s="2" t="s">
        <v>2033</v>
      </c>
      <c r="D147" s="2" t="s">
        <v>2034</v>
      </c>
      <c r="E147" s="3">
        <v>42579</v>
      </c>
      <c r="F147" s="2"/>
      <c r="G147" s="2" t="s">
        <v>2035</v>
      </c>
      <c r="H147" s="2" t="s">
        <v>1006</v>
      </c>
      <c r="I147" s="3">
        <v>42603</v>
      </c>
      <c r="J147" s="2" t="str">
        <f>HYPERLINK("https://docs.wto.org/imrd/directdoc.asp?DDFDocuments/t/G/TBTN16/KEN490.DOC")</f>
        <v>https://docs.wto.org/imrd/directdoc.asp?DDFDocuments/t/G/TBTN16/KEN490.DOC</v>
      </c>
      <c r="K147" s="2" t="str">
        <f>HYPERLINK("null")</f>
        <v>null</v>
      </c>
      <c r="L147" s="2" t="str">
        <f>HYPERLINK("null")</f>
        <v>null</v>
      </c>
      <c r="M147" s="2" t="str">
        <f>HYPERLINK("http://www.epingalert.org/#/details/G/TBT/N/KEN/490")</f>
        <v>http://www.epingalert.org/#/details/G/TBT/N/KEN/490</v>
      </c>
      <c r="N147" s="2"/>
      <c r="O147" s="2"/>
    </row>
    <row r="148" spans="1:15" ht="120" outlineLevel="1" x14ac:dyDescent="0.25">
      <c r="A148" s="2" t="s">
        <v>42</v>
      </c>
      <c r="B148" s="4" t="s">
        <v>203</v>
      </c>
      <c r="C148" s="2" t="s">
        <v>204</v>
      </c>
      <c r="D148" s="2" t="s">
        <v>205</v>
      </c>
      <c r="E148" s="3">
        <v>42578</v>
      </c>
      <c r="F148" s="8" t="s">
        <v>206</v>
      </c>
      <c r="G148" s="2"/>
      <c r="H148" s="2" t="s">
        <v>17</v>
      </c>
      <c r="I148" s="2"/>
      <c r="J148" s="2" t="str">
        <f>HYPERLINK("https://docs.wto.org/imrd/directdoc.asp?DDFDocuments/t/G/TBTN16/BRA684.DOC")</f>
        <v>https://docs.wto.org/imrd/directdoc.asp?DDFDocuments/t/G/TBTN16/BRA684.DOC</v>
      </c>
      <c r="K148" s="2" t="str">
        <f>HYPERLINK("null")</f>
        <v>null</v>
      </c>
      <c r="L148" s="2" t="str">
        <f>HYPERLINK("null")</f>
        <v>null</v>
      </c>
      <c r="M148" s="2" t="str">
        <f>HYPERLINK("http://www.epingalert.org/#/details/G/TBT/N/BRA/684")</f>
        <v>http://www.epingalert.org/#/details/G/TBT/N/BRA/684</v>
      </c>
      <c r="N148" s="2"/>
      <c r="O148" s="2"/>
    </row>
    <row r="149" spans="1:15" ht="165" outlineLevel="1" x14ac:dyDescent="0.25">
      <c r="A149" s="2" t="s">
        <v>42</v>
      </c>
      <c r="B149" s="4" t="s">
        <v>2036</v>
      </c>
      <c r="C149" s="2" t="s">
        <v>2037</v>
      </c>
      <c r="D149" s="2" t="s">
        <v>2038</v>
      </c>
      <c r="E149" s="3">
        <v>42578</v>
      </c>
      <c r="F149" s="2"/>
      <c r="G149" s="2" t="s">
        <v>2039</v>
      </c>
      <c r="H149" s="2" t="s">
        <v>247</v>
      </c>
      <c r="I149" s="2"/>
      <c r="J149" s="2" t="str">
        <f>HYPERLINK("https://docs.wto.org/imrd/directdoc.asp?DDFDocuments/t/G/TBTN16/BRA682.DOC")</f>
        <v>https://docs.wto.org/imrd/directdoc.asp?DDFDocuments/t/G/TBTN16/BRA682.DOC</v>
      </c>
      <c r="K149" s="2" t="str">
        <f>HYPERLINK("null")</f>
        <v>null</v>
      </c>
      <c r="L149" s="2" t="str">
        <f>HYPERLINK("https://docs.wto.org/imrd/directdoc.asp?DDFDocuments/v/G/TBTN16/BRA682.DOC")</f>
        <v>https://docs.wto.org/imrd/directdoc.asp?DDFDocuments/v/G/TBTN16/BRA682.DOC</v>
      </c>
      <c r="M149" s="2" t="str">
        <f>HYPERLINK("http://www.epingalert.org/#/details/G/TBT/N/BRA/682")</f>
        <v>http://www.epingalert.org/#/details/G/TBT/N/BRA/682</v>
      </c>
      <c r="N149" s="2"/>
      <c r="O149" s="2"/>
    </row>
    <row r="150" spans="1:15" ht="75" outlineLevel="1" x14ac:dyDescent="0.25">
      <c r="A150" s="2" t="s">
        <v>25</v>
      </c>
      <c r="B150" s="4" t="s">
        <v>207</v>
      </c>
      <c r="C150" s="2" t="s">
        <v>208</v>
      </c>
      <c r="D150" s="2" t="s">
        <v>209</v>
      </c>
      <c r="E150" s="3">
        <v>42571</v>
      </c>
      <c r="F150" s="2" t="s">
        <v>210</v>
      </c>
      <c r="G150" s="2"/>
      <c r="H150" s="2" t="s">
        <v>58</v>
      </c>
      <c r="I150" s="3">
        <v>42631</v>
      </c>
      <c r="J150" s="2" t="str">
        <f>HYPERLINK("https://docs.wto.org/imrd/directdoc.asp?DDFDocuments/t/G/TBTN16/KOR661.DOC")</f>
        <v>https://docs.wto.org/imrd/directdoc.asp?DDFDocuments/t/G/TBTN16/KOR661.DOC</v>
      </c>
      <c r="K150" s="2" t="str">
        <f>HYPERLINK("https://docs.wto.org/imrd/directdoc.asp?DDFDocuments/u/G/TBTN16/KOR661.DOC")</f>
        <v>https://docs.wto.org/imrd/directdoc.asp?DDFDocuments/u/G/TBTN16/KOR661.DOC</v>
      </c>
      <c r="L150" s="2" t="str">
        <f>HYPERLINK("https://docs.wto.org/imrd/directdoc.asp?DDFDocuments/v/G/TBTN16/KOR661.DOC")</f>
        <v>https://docs.wto.org/imrd/directdoc.asp?DDFDocuments/v/G/TBTN16/KOR661.DOC</v>
      </c>
      <c r="M150" s="2" t="str">
        <f>HYPERLINK("http://www.epingalert.org/#/details/G/TBT/N/KOR/661")</f>
        <v>http://www.epingalert.org/#/details/G/TBT/N/KOR/661</v>
      </c>
      <c r="N150" s="2"/>
      <c r="O150" s="2"/>
    </row>
    <row r="151" spans="1:15" ht="285" outlineLevel="1" x14ac:dyDescent="0.25">
      <c r="A151" s="2" t="s">
        <v>211</v>
      </c>
      <c r="B151" s="4" t="s">
        <v>212</v>
      </c>
      <c r="C151" s="2" t="s">
        <v>213</v>
      </c>
      <c r="D151" s="2" t="s">
        <v>214</v>
      </c>
      <c r="E151" s="3">
        <v>42565</v>
      </c>
      <c r="F151" s="2" t="s">
        <v>215</v>
      </c>
      <c r="G151" s="2" t="s">
        <v>216</v>
      </c>
      <c r="H151" s="2" t="s">
        <v>217</v>
      </c>
      <c r="I151" s="3">
        <v>42607</v>
      </c>
      <c r="J151" s="2" t="str">
        <f>HYPERLINK("https://docs.wto.org/imrd/directdoc.asp?DDFDocuments/t/G/TBTN16/NZL75.DOC")</f>
        <v>https://docs.wto.org/imrd/directdoc.asp?DDFDocuments/t/G/TBTN16/NZL75.DOC</v>
      </c>
      <c r="K151" s="2" t="str">
        <f>HYPERLINK("https://docs.wto.org/imrd/directdoc.asp?DDFDocuments/u/G/TBTN16/NZL75.DOC")</f>
        <v>https://docs.wto.org/imrd/directdoc.asp?DDFDocuments/u/G/TBTN16/NZL75.DOC</v>
      </c>
      <c r="L151" s="2" t="str">
        <f>HYPERLINK("https://docs.wto.org/imrd/directdoc.asp?DDFDocuments/v/G/TBTN16/NZL75.DOC")</f>
        <v>https://docs.wto.org/imrd/directdoc.asp?DDFDocuments/v/G/TBTN16/NZL75.DOC</v>
      </c>
      <c r="M151" s="2" t="str">
        <f>HYPERLINK("http://www.epingalert.org/#/details/G/TBT/N/NZL/75")</f>
        <v>http://www.epingalert.org/#/details/G/TBT/N/NZL/75</v>
      </c>
      <c r="N151" s="2"/>
      <c r="O151" s="2"/>
    </row>
    <row r="152" spans="1:15" ht="105" outlineLevel="1" x14ac:dyDescent="0.25">
      <c r="A152" s="2" t="s">
        <v>77</v>
      </c>
      <c r="B152" s="4" t="s">
        <v>218</v>
      </c>
      <c r="C152" s="2" t="s">
        <v>219</v>
      </c>
      <c r="D152" s="2" t="s">
        <v>220</v>
      </c>
      <c r="E152" s="3">
        <v>42563</v>
      </c>
      <c r="F152" s="2" t="s">
        <v>221</v>
      </c>
      <c r="G152" s="2"/>
      <c r="H152" s="2" t="s">
        <v>24</v>
      </c>
      <c r="I152" s="3">
        <v>42623</v>
      </c>
      <c r="J152" s="2" t="str">
        <f>HYPERLINK("https://docs.wto.org/imrd/directdoc.asp?DDFDocuments/t/G/TBTN16/TPKM240.DOC")</f>
        <v>https://docs.wto.org/imrd/directdoc.asp?DDFDocuments/t/G/TBTN16/TPKM240.DOC</v>
      </c>
      <c r="K152" s="2" t="str">
        <f>HYPERLINK("https://docs.wto.org/imrd/directdoc.asp?DDFDocuments/u/G/TBTN16/TPKM240.DOC")</f>
        <v>https://docs.wto.org/imrd/directdoc.asp?DDFDocuments/u/G/TBTN16/TPKM240.DOC</v>
      </c>
      <c r="L152" s="2" t="str">
        <f>HYPERLINK("https://docs.wto.org/imrd/directdoc.asp?DDFDocuments/v/G/TBTN16/TPKM240.DOC")</f>
        <v>https://docs.wto.org/imrd/directdoc.asp?DDFDocuments/v/G/TBTN16/TPKM240.DOC</v>
      </c>
      <c r="M152" s="2" t="str">
        <f>HYPERLINK("http://www.epingalert.org/#/details/G/TBT/N/TPKM/240")</f>
        <v>http://www.epingalert.org/#/details/G/TBT/N/TPKM/240</v>
      </c>
      <c r="N152" s="2"/>
      <c r="O152" s="2"/>
    </row>
    <row r="153" spans="1:15" ht="90" outlineLevel="1" x14ac:dyDescent="0.25">
      <c r="A153" s="2" t="s">
        <v>77</v>
      </c>
      <c r="B153" s="4" t="s">
        <v>222</v>
      </c>
      <c r="C153" s="2" t="s">
        <v>223</v>
      </c>
      <c r="D153" s="2" t="s">
        <v>224</v>
      </c>
      <c r="E153" s="3">
        <v>42559</v>
      </c>
      <c r="F153" s="2" t="s">
        <v>221</v>
      </c>
      <c r="G153" s="2"/>
      <c r="H153" s="2" t="s">
        <v>24</v>
      </c>
      <c r="I153" s="3">
        <v>42619</v>
      </c>
      <c r="J153" s="2" t="str">
        <f>HYPERLINK("https://docs.wto.org/imrd/directdoc.asp?DDFDocuments/t/G/TBTN16/TPKM239.DOC")</f>
        <v>https://docs.wto.org/imrd/directdoc.asp?DDFDocuments/t/G/TBTN16/TPKM239.DOC</v>
      </c>
      <c r="K153" s="2" t="str">
        <f>HYPERLINK("https://docs.wto.org/imrd/directdoc.asp?DDFDocuments/u/G/TBTN16/TPKM239.DOC")</f>
        <v>https://docs.wto.org/imrd/directdoc.asp?DDFDocuments/u/G/TBTN16/TPKM239.DOC</v>
      </c>
      <c r="L153" s="2" t="str">
        <f>HYPERLINK("https://docs.wto.org/imrd/directdoc.asp?DDFDocuments/v/G/TBTN16/TPKM239.DOC")</f>
        <v>https://docs.wto.org/imrd/directdoc.asp?DDFDocuments/v/G/TBTN16/TPKM239.DOC</v>
      </c>
      <c r="M153" s="2" t="str">
        <f>HYPERLINK("http://www.epingalert.org/#/details/G/TBT/N/TPKM/239")</f>
        <v>http://www.epingalert.org/#/details/G/TBT/N/TPKM/239</v>
      </c>
      <c r="N153" s="2"/>
      <c r="O153" s="2"/>
    </row>
    <row r="154" spans="1:15" ht="60" outlineLevel="1" x14ac:dyDescent="0.25">
      <c r="A154" s="2" t="s">
        <v>380</v>
      </c>
      <c r="B154" s="4" t="s">
        <v>2040</v>
      </c>
      <c r="C154" s="2" t="s">
        <v>2041</v>
      </c>
      <c r="D154" s="2" t="s">
        <v>2042</v>
      </c>
      <c r="E154" s="3">
        <v>42558</v>
      </c>
      <c r="F154" s="2" t="s">
        <v>2043</v>
      </c>
      <c r="G154" s="2" t="s">
        <v>2044</v>
      </c>
      <c r="H154" s="2" t="s">
        <v>988</v>
      </c>
      <c r="I154" s="3">
        <v>42618</v>
      </c>
      <c r="J154" s="2" t="str">
        <f>HYPERLINK("https://docs.wto.org/imrd/directdoc.asp?DDFDocuments/t/G/TBTN16/CHN1177.DOC")</f>
        <v>https://docs.wto.org/imrd/directdoc.asp?DDFDocuments/t/G/TBTN16/CHN1177.DOC</v>
      </c>
      <c r="K154" s="2" t="str">
        <f>HYPERLINK("https://docs.wto.org/imrd/directdoc.asp?DDFDocuments/u/G/TBTN16/CHN1177.DOC")</f>
        <v>https://docs.wto.org/imrd/directdoc.asp?DDFDocuments/u/G/TBTN16/CHN1177.DOC</v>
      </c>
      <c r="L154" s="2" t="str">
        <f>HYPERLINK("https://docs.wto.org/imrd/directdoc.asp?DDFDocuments/v/G/TBTN16/CHN1177.DOC")</f>
        <v>https://docs.wto.org/imrd/directdoc.asp?DDFDocuments/v/G/TBTN16/CHN1177.DOC</v>
      </c>
      <c r="M154" s="2" t="str">
        <f>HYPERLINK("http://www.epingalert.org/#/details/G/TBT/N/CHN/1177")</f>
        <v>http://www.epingalert.org/#/details/G/TBT/N/CHN/1177</v>
      </c>
      <c r="N154" s="2"/>
      <c r="O154" s="2"/>
    </row>
    <row r="155" spans="1:15" ht="120" outlineLevel="1" x14ac:dyDescent="0.25">
      <c r="A155" s="2" t="s">
        <v>1129</v>
      </c>
      <c r="B155" s="4" t="s">
        <v>1657</v>
      </c>
      <c r="C155" s="2" t="s">
        <v>1658</v>
      </c>
      <c r="D155" s="2" t="s">
        <v>1659</v>
      </c>
      <c r="E155" s="3">
        <v>42557</v>
      </c>
      <c r="F155" s="2"/>
      <c r="G155" s="2" t="s">
        <v>1660</v>
      </c>
      <c r="H155" s="2" t="s">
        <v>198</v>
      </c>
      <c r="I155" s="3">
        <v>42613</v>
      </c>
      <c r="J155" s="2" t="str">
        <f>HYPERLINK("https://docs.wto.org/imrd/directdoc.asp?DDFDocuments/t/G/TBTN16/KEN483.DOC")</f>
        <v>https://docs.wto.org/imrd/directdoc.asp?DDFDocuments/t/G/TBTN16/KEN483.DOC</v>
      </c>
      <c r="K155" s="2" t="str">
        <f>HYPERLINK("https://docs.wto.org/imrd/directdoc.asp?DDFDocuments/u/G/TBTN16/KEN483.DOC")</f>
        <v>https://docs.wto.org/imrd/directdoc.asp?DDFDocuments/u/G/TBTN16/KEN483.DOC</v>
      </c>
      <c r="L155" s="2" t="str">
        <f>HYPERLINK("https://docs.wto.org/imrd/directdoc.asp?DDFDocuments/v/G/TBTN16/KEN483.DOC")</f>
        <v>https://docs.wto.org/imrd/directdoc.asp?DDFDocuments/v/G/TBTN16/KEN483.DOC</v>
      </c>
      <c r="M155" s="2" t="str">
        <f>HYPERLINK("http://www.epingalert.org/#/details/G/TBT/N/KEN/483")</f>
        <v>http://www.epingalert.org/#/details/G/TBT/N/KEN/483</v>
      </c>
      <c r="N155" s="2"/>
      <c r="O155" s="2"/>
    </row>
    <row r="156" spans="1:15" ht="120" outlineLevel="1" x14ac:dyDescent="0.25">
      <c r="A156" s="2" t="s">
        <v>1129</v>
      </c>
      <c r="B156" s="4" t="s">
        <v>1661</v>
      </c>
      <c r="C156" s="2" t="s">
        <v>1662</v>
      </c>
      <c r="D156" s="2" t="s">
        <v>1663</v>
      </c>
      <c r="E156" s="3">
        <v>42557</v>
      </c>
      <c r="F156" s="2"/>
      <c r="G156" s="2" t="s">
        <v>1660</v>
      </c>
      <c r="H156" s="2" t="s">
        <v>198</v>
      </c>
      <c r="I156" s="3">
        <v>42613</v>
      </c>
      <c r="J156" s="2" t="str">
        <f>HYPERLINK("https://docs.wto.org/imrd/directdoc.asp?DDFDocuments/t/G/TBTN16/KEN480.DOC")</f>
        <v>https://docs.wto.org/imrd/directdoc.asp?DDFDocuments/t/G/TBTN16/KEN480.DOC</v>
      </c>
      <c r="K156" s="2" t="str">
        <f>HYPERLINK("https://docs.wto.org/imrd/directdoc.asp?DDFDocuments/u/G/TBTN16/KEN480.DOC")</f>
        <v>https://docs.wto.org/imrd/directdoc.asp?DDFDocuments/u/G/TBTN16/KEN480.DOC</v>
      </c>
      <c r="L156" s="2" t="str">
        <f>HYPERLINK("https://docs.wto.org/imrd/directdoc.asp?DDFDocuments/v/G/TBTN16/KEN480.DOC")</f>
        <v>https://docs.wto.org/imrd/directdoc.asp?DDFDocuments/v/G/TBTN16/KEN480.DOC</v>
      </c>
      <c r="M156" s="2" t="str">
        <f>HYPERLINK("http://www.epingalert.org/#/details/G/TBT/N/KEN/480")</f>
        <v>http://www.epingalert.org/#/details/G/TBT/N/KEN/480</v>
      </c>
      <c r="N156" s="2"/>
      <c r="O156" s="2"/>
    </row>
    <row r="157" spans="1:15" ht="120" outlineLevel="1" x14ac:dyDescent="0.25">
      <c r="A157" s="2" t="s">
        <v>1129</v>
      </c>
      <c r="B157" s="4" t="s">
        <v>1664</v>
      </c>
      <c r="C157" s="2" t="s">
        <v>1665</v>
      </c>
      <c r="D157" s="2" t="s">
        <v>1666</v>
      </c>
      <c r="E157" s="3">
        <v>42557</v>
      </c>
      <c r="F157" s="2"/>
      <c r="G157" s="2" t="s">
        <v>1660</v>
      </c>
      <c r="H157" s="2" t="s">
        <v>198</v>
      </c>
      <c r="I157" s="3">
        <v>42613</v>
      </c>
      <c r="J157" s="2" t="str">
        <f>HYPERLINK("https://docs.wto.org/imrd/directdoc.asp?DDFDocuments/t/G/TBTN16/KEN482.DOC")</f>
        <v>https://docs.wto.org/imrd/directdoc.asp?DDFDocuments/t/G/TBTN16/KEN482.DOC</v>
      </c>
      <c r="K157" s="2" t="str">
        <f>HYPERLINK("https://docs.wto.org/imrd/directdoc.asp?DDFDocuments/u/G/TBTN16/KEN482.DOC")</f>
        <v>https://docs.wto.org/imrd/directdoc.asp?DDFDocuments/u/G/TBTN16/KEN482.DOC</v>
      </c>
      <c r="L157" s="2" t="str">
        <f>HYPERLINK("https://docs.wto.org/imrd/directdoc.asp?DDFDocuments/v/G/TBTN16/KEN482.DOC")</f>
        <v>https://docs.wto.org/imrd/directdoc.asp?DDFDocuments/v/G/TBTN16/KEN482.DOC</v>
      </c>
      <c r="M157" s="2" t="str">
        <f>HYPERLINK("http://www.epingalert.org/#/details/G/TBT/N/KEN/482")</f>
        <v>http://www.epingalert.org/#/details/G/TBT/N/KEN/482</v>
      </c>
      <c r="N157" s="2"/>
      <c r="O157" s="2"/>
    </row>
    <row r="158" spans="1:15" ht="120" outlineLevel="1" x14ac:dyDescent="0.25">
      <c r="A158" s="2" t="s">
        <v>1129</v>
      </c>
      <c r="B158" s="4" t="s">
        <v>1667</v>
      </c>
      <c r="C158" s="2" t="s">
        <v>1668</v>
      </c>
      <c r="D158" s="2" t="s">
        <v>1669</v>
      </c>
      <c r="E158" s="3">
        <v>42557</v>
      </c>
      <c r="F158" s="2"/>
      <c r="G158" s="2" t="s">
        <v>1660</v>
      </c>
      <c r="H158" s="2" t="s">
        <v>198</v>
      </c>
      <c r="I158" s="3">
        <v>42613</v>
      </c>
      <c r="J158" s="2" t="str">
        <f>HYPERLINK("https://docs.wto.org/imrd/directdoc.asp?DDFDocuments/t/G/TBTN16/KEN481.DOC")</f>
        <v>https://docs.wto.org/imrd/directdoc.asp?DDFDocuments/t/G/TBTN16/KEN481.DOC</v>
      </c>
      <c r="K158" s="2" t="str">
        <f>HYPERLINK("https://docs.wto.org/imrd/directdoc.asp?DDFDocuments/u/G/TBTN16/KEN481.DOC")</f>
        <v>https://docs.wto.org/imrd/directdoc.asp?DDFDocuments/u/G/TBTN16/KEN481.DOC</v>
      </c>
      <c r="L158" s="2" t="str">
        <f>HYPERLINK("https://docs.wto.org/imrd/directdoc.asp?DDFDocuments/v/G/TBTN16/KEN481.DOC")</f>
        <v>https://docs.wto.org/imrd/directdoc.asp?DDFDocuments/v/G/TBTN16/KEN481.DOC</v>
      </c>
      <c r="M158" s="2" t="str">
        <f>HYPERLINK("http://www.epingalert.org/#/details/G/TBT/N/KEN/481")</f>
        <v>http://www.epingalert.org/#/details/G/TBT/N/KEN/481</v>
      </c>
      <c r="N158" s="2"/>
      <c r="O158" s="2"/>
    </row>
    <row r="159" spans="1:15" ht="90" outlineLevel="1" x14ac:dyDescent="0.25">
      <c r="A159" s="2" t="s">
        <v>1129</v>
      </c>
      <c r="B159" s="4" t="s">
        <v>1670</v>
      </c>
      <c r="C159" s="2" t="s">
        <v>1671</v>
      </c>
      <c r="D159" s="2" t="s">
        <v>1672</v>
      </c>
      <c r="E159" s="3">
        <v>42557</v>
      </c>
      <c r="F159" s="2"/>
      <c r="G159" s="2" t="s">
        <v>1660</v>
      </c>
      <c r="H159" s="2" t="s">
        <v>30</v>
      </c>
      <c r="I159" s="3">
        <v>42613</v>
      </c>
      <c r="J159" s="2" t="str">
        <f>HYPERLINK("https://docs.wto.org/imrd/directdoc.asp?DDFDocuments/t/G/TBTN16/KEN484.DOC")</f>
        <v>https://docs.wto.org/imrd/directdoc.asp?DDFDocuments/t/G/TBTN16/KEN484.DOC</v>
      </c>
      <c r="K159" s="2" t="str">
        <f>HYPERLINK("https://docs.wto.org/imrd/directdoc.asp?DDFDocuments/u/G/TBTN16/KEN484.DOC")</f>
        <v>https://docs.wto.org/imrd/directdoc.asp?DDFDocuments/u/G/TBTN16/KEN484.DOC</v>
      </c>
      <c r="L159" s="2" t="str">
        <f>HYPERLINK("https://docs.wto.org/imrd/directdoc.asp?DDFDocuments/v/G/TBTN16/KEN484.DOC")</f>
        <v>https://docs.wto.org/imrd/directdoc.asp?DDFDocuments/v/G/TBTN16/KEN484.DOC</v>
      </c>
      <c r="M159" s="2" t="str">
        <f>HYPERLINK("http://www.epingalert.org/#/details/G/TBT/N/KEN/484")</f>
        <v>http://www.epingalert.org/#/details/G/TBT/N/KEN/484</v>
      </c>
      <c r="N159" s="2"/>
      <c r="O159" s="2"/>
    </row>
    <row r="160" spans="1:15" ht="120" outlineLevel="1" x14ac:dyDescent="0.25">
      <c r="A160" s="2" t="s">
        <v>1129</v>
      </c>
      <c r="B160" s="4" t="s">
        <v>1673</v>
      </c>
      <c r="C160" s="2" t="s">
        <v>1674</v>
      </c>
      <c r="D160" s="2" t="s">
        <v>1675</v>
      </c>
      <c r="E160" s="3">
        <v>42557</v>
      </c>
      <c r="F160" s="2"/>
      <c r="G160" s="2" t="s">
        <v>1660</v>
      </c>
      <c r="H160" s="2" t="s">
        <v>198</v>
      </c>
      <c r="I160" s="3">
        <v>42613</v>
      </c>
      <c r="J160" s="2" t="str">
        <f>HYPERLINK("https://docs.wto.org/imrd/directdoc.asp?DDFDocuments/t/G/TBTN16/KEN479.DOC")</f>
        <v>https://docs.wto.org/imrd/directdoc.asp?DDFDocuments/t/G/TBTN16/KEN479.DOC</v>
      </c>
      <c r="K160" s="2" t="str">
        <f>HYPERLINK("https://docs.wto.org/imrd/directdoc.asp?DDFDocuments/u/G/TBTN16/KEN479.DOC")</f>
        <v>https://docs.wto.org/imrd/directdoc.asp?DDFDocuments/u/G/TBTN16/KEN479.DOC</v>
      </c>
      <c r="L160" s="2" t="str">
        <f>HYPERLINK("https://docs.wto.org/imrd/directdoc.asp?DDFDocuments/v/G/TBTN16/KEN479.DOC")</f>
        <v>https://docs.wto.org/imrd/directdoc.asp?DDFDocuments/v/G/TBTN16/KEN479.DOC</v>
      </c>
      <c r="M160" s="2" t="str">
        <f>HYPERLINK("http://www.epingalert.org/#/details/G/TBT/N/KEN/479")</f>
        <v>http://www.epingalert.org/#/details/G/TBT/N/KEN/479</v>
      </c>
      <c r="N160" s="2"/>
      <c r="O160" s="2"/>
    </row>
    <row r="161" spans="1:15" ht="120" outlineLevel="1" x14ac:dyDescent="0.25">
      <c r="A161" s="2" t="s">
        <v>1129</v>
      </c>
      <c r="B161" s="4" t="s">
        <v>1676</v>
      </c>
      <c r="C161" s="2" t="s">
        <v>1677</v>
      </c>
      <c r="D161" s="2" t="s">
        <v>1678</v>
      </c>
      <c r="E161" s="3">
        <v>42556</v>
      </c>
      <c r="F161" s="2"/>
      <c r="G161" s="2" t="s">
        <v>1660</v>
      </c>
      <c r="H161" s="2" t="s">
        <v>198</v>
      </c>
      <c r="I161" s="3">
        <v>42613</v>
      </c>
      <c r="J161" s="2" t="str">
        <f>HYPERLINK("https://docs.wto.org/imrd/directdoc.asp?DDFDocuments/t/G/TBTN16/KEN476.DOC")</f>
        <v>https://docs.wto.org/imrd/directdoc.asp?DDFDocuments/t/G/TBTN16/KEN476.DOC</v>
      </c>
      <c r="K161" s="2" t="str">
        <f>HYPERLINK("https://docs.wto.org/imrd/directdoc.asp?DDFDocuments/u/G/TBTN16/KEN476.DOC")</f>
        <v>https://docs.wto.org/imrd/directdoc.asp?DDFDocuments/u/G/TBTN16/KEN476.DOC</v>
      </c>
      <c r="L161" s="2" t="str">
        <f>HYPERLINK("https://docs.wto.org/imrd/directdoc.asp?DDFDocuments/v/G/TBTN16/KEN476.DOC")</f>
        <v>https://docs.wto.org/imrd/directdoc.asp?DDFDocuments/v/G/TBTN16/KEN476.DOC</v>
      </c>
      <c r="M161" s="2" t="str">
        <f>HYPERLINK("http://www.epingalert.org/#/details/G/TBT/N/KEN/476")</f>
        <v>http://www.epingalert.org/#/details/G/TBT/N/KEN/476</v>
      </c>
      <c r="N161" s="2"/>
      <c r="O161" s="2"/>
    </row>
    <row r="162" spans="1:15" ht="120" outlineLevel="1" x14ac:dyDescent="0.25">
      <c r="A162" s="2" t="s">
        <v>1129</v>
      </c>
      <c r="B162" s="4" t="s">
        <v>1679</v>
      </c>
      <c r="C162" s="2" t="s">
        <v>1680</v>
      </c>
      <c r="D162" s="2" t="s">
        <v>1681</v>
      </c>
      <c r="E162" s="3">
        <v>42556</v>
      </c>
      <c r="F162" s="2"/>
      <c r="G162" s="2" t="s">
        <v>1660</v>
      </c>
      <c r="H162" s="2" t="s">
        <v>198</v>
      </c>
      <c r="I162" s="3">
        <v>42613</v>
      </c>
      <c r="J162" s="2" t="str">
        <f>HYPERLINK("https://docs.wto.org/imrd/directdoc.asp?DDFDocuments/t/G/TBTN16/KEN475.DOC")</f>
        <v>https://docs.wto.org/imrd/directdoc.asp?DDFDocuments/t/G/TBTN16/KEN475.DOC</v>
      </c>
      <c r="K162" s="2" t="str">
        <f>HYPERLINK("https://docs.wto.org/imrd/directdoc.asp?DDFDocuments/u/G/TBTN16/KEN475.DOC")</f>
        <v>https://docs.wto.org/imrd/directdoc.asp?DDFDocuments/u/G/TBTN16/KEN475.DOC</v>
      </c>
      <c r="L162" s="2" t="str">
        <f>HYPERLINK("https://docs.wto.org/imrd/directdoc.asp?DDFDocuments/v/G/TBTN16/KEN475.DOC")</f>
        <v>https://docs.wto.org/imrd/directdoc.asp?DDFDocuments/v/G/TBTN16/KEN475.DOC</v>
      </c>
      <c r="M162" s="2" t="str">
        <f>HYPERLINK("http://www.epingalert.org/#/details/G/TBT/N/KEN/475")</f>
        <v>http://www.epingalert.org/#/details/G/TBT/N/KEN/475</v>
      </c>
      <c r="N162" s="2"/>
      <c r="O162" s="2"/>
    </row>
    <row r="163" spans="1:15" ht="120" outlineLevel="1" x14ac:dyDescent="0.25">
      <c r="A163" s="2" t="s">
        <v>1129</v>
      </c>
      <c r="B163" s="4" t="s">
        <v>1682</v>
      </c>
      <c r="C163" s="2" t="s">
        <v>1683</v>
      </c>
      <c r="D163" s="2" t="s">
        <v>1684</v>
      </c>
      <c r="E163" s="3">
        <v>42556</v>
      </c>
      <c r="F163" s="2"/>
      <c r="G163" s="2" t="s">
        <v>1660</v>
      </c>
      <c r="H163" s="2" t="s">
        <v>198</v>
      </c>
      <c r="I163" s="3">
        <v>42613</v>
      </c>
      <c r="J163" s="2" t="str">
        <f>HYPERLINK("https://docs.wto.org/imrd/directdoc.asp?DDFDocuments/t/G/TBTN16/KEN474.DOC")</f>
        <v>https://docs.wto.org/imrd/directdoc.asp?DDFDocuments/t/G/TBTN16/KEN474.DOC</v>
      </c>
      <c r="K163" s="2" t="str">
        <f>HYPERLINK("https://docs.wto.org/imrd/directdoc.asp?DDFDocuments/u/G/TBTN16/KEN474.DOC")</f>
        <v>https://docs.wto.org/imrd/directdoc.asp?DDFDocuments/u/G/TBTN16/KEN474.DOC</v>
      </c>
      <c r="L163" s="2" t="str">
        <f>HYPERLINK("https://docs.wto.org/imrd/directdoc.asp?DDFDocuments/v/G/TBTN16/KEN474.DOC")</f>
        <v>https://docs.wto.org/imrd/directdoc.asp?DDFDocuments/v/G/TBTN16/KEN474.DOC</v>
      </c>
      <c r="M163" s="2" t="str">
        <f>HYPERLINK("http://www.epingalert.org/#/details/G/TBT/N/KEN/474")</f>
        <v>http://www.epingalert.org/#/details/G/TBT/N/KEN/474</v>
      </c>
      <c r="N163" s="2"/>
      <c r="O163" s="2"/>
    </row>
    <row r="164" spans="1:15" ht="120" outlineLevel="1" x14ac:dyDescent="0.25">
      <c r="A164" s="2" t="s">
        <v>1129</v>
      </c>
      <c r="B164" s="4" t="s">
        <v>1685</v>
      </c>
      <c r="C164" s="2" t="s">
        <v>1686</v>
      </c>
      <c r="D164" s="2" t="s">
        <v>1687</v>
      </c>
      <c r="E164" s="3">
        <v>42556</v>
      </c>
      <c r="F164" s="2"/>
      <c r="G164" s="2" t="s">
        <v>1660</v>
      </c>
      <c r="H164" s="2" t="s">
        <v>198</v>
      </c>
      <c r="I164" s="3">
        <v>42613</v>
      </c>
      <c r="J164" s="2" t="str">
        <f>HYPERLINK("https://docs.wto.org/imrd/directdoc.asp?DDFDocuments/t/G/TBTN16/KEN473.DOC")</f>
        <v>https://docs.wto.org/imrd/directdoc.asp?DDFDocuments/t/G/TBTN16/KEN473.DOC</v>
      </c>
      <c r="K164" s="2" t="str">
        <f>HYPERLINK("https://docs.wto.org/imrd/directdoc.asp?DDFDocuments/u/G/TBTN16/KEN473.DOC")</f>
        <v>https://docs.wto.org/imrd/directdoc.asp?DDFDocuments/u/G/TBTN16/KEN473.DOC</v>
      </c>
      <c r="L164" s="2" t="str">
        <f>HYPERLINK("https://docs.wto.org/imrd/directdoc.asp?DDFDocuments/v/G/TBTN16/KEN473.DOC")</f>
        <v>https://docs.wto.org/imrd/directdoc.asp?DDFDocuments/v/G/TBTN16/KEN473.DOC</v>
      </c>
      <c r="M164" s="2" t="str">
        <f>HYPERLINK("http://www.epingalert.org/#/details/G/TBT/N/KEN/473")</f>
        <v>http://www.epingalert.org/#/details/G/TBT/N/KEN/473</v>
      </c>
      <c r="N164" s="2"/>
      <c r="O164" s="2"/>
    </row>
    <row r="165" spans="1:15" ht="120" outlineLevel="1" x14ac:dyDescent="0.25">
      <c r="A165" s="2" t="s">
        <v>1129</v>
      </c>
      <c r="B165" s="4" t="s">
        <v>1688</v>
      </c>
      <c r="C165" s="2" t="s">
        <v>1689</v>
      </c>
      <c r="D165" s="2" t="s">
        <v>1690</v>
      </c>
      <c r="E165" s="3">
        <v>42556</v>
      </c>
      <c r="F165" s="2"/>
      <c r="G165" s="2" t="s">
        <v>1660</v>
      </c>
      <c r="H165" s="2" t="s">
        <v>198</v>
      </c>
      <c r="I165" s="3">
        <v>42613</v>
      </c>
      <c r="J165" s="2" t="str">
        <f>HYPERLINK("https://docs.wto.org/imrd/directdoc.asp?DDFDocuments/t/G/TBTN16/KEN472.DOC")</f>
        <v>https://docs.wto.org/imrd/directdoc.asp?DDFDocuments/t/G/TBTN16/KEN472.DOC</v>
      </c>
      <c r="K165" s="2" t="str">
        <f>HYPERLINK("https://docs.wto.org/imrd/directdoc.asp?DDFDocuments/u/G/TBTN16/KEN472.DOC")</f>
        <v>https://docs.wto.org/imrd/directdoc.asp?DDFDocuments/u/G/TBTN16/KEN472.DOC</v>
      </c>
      <c r="L165" s="2" t="str">
        <f>HYPERLINK("https://docs.wto.org/imrd/directdoc.asp?DDFDocuments/v/G/TBTN16/KEN472.DOC")</f>
        <v>https://docs.wto.org/imrd/directdoc.asp?DDFDocuments/v/G/TBTN16/KEN472.DOC</v>
      </c>
      <c r="M165" s="2" t="str">
        <f>HYPERLINK("http://www.epingalert.org/#/details/G/TBT/N/KEN/472")</f>
        <v>http://www.epingalert.org/#/details/G/TBT/N/KEN/472</v>
      </c>
      <c r="N165" s="2"/>
      <c r="O165" s="2"/>
    </row>
    <row r="166" spans="1:15" ht="120" outlineLevel="1" x14ac:dyDescent="0.25">
      <c r="A166" s="2" t="s">
        <v>1129</v>
      </c>
      <c r="B166" s="4" t="s">
        <v>1691</v>
      </c>
      <c r="C166" s="2" t="s">
        <v>1692</v>
      </c>
      <c r="D166" s="2" t="s">
        <v>1693</v>
      </c>
      <c r="E166" s="3">
        <v>42556</v>
      </c>
      <c r="F166" s="2"/>
      <c r="G166" s="2" t="s">
        <v>1660</v>
      </c>
      <c r="H166" s="2" t="s">
        <v>198</v>
      </c>
      <c r="I166" s="3">
        <v>42613</v>
      </c>
      <c r="J166" s="2" t="str">
        <f>HYPERLINK("https://docs.wto.org/imrd/directdoc.asp?DDFDocuments/t/G/TBTN16/KEN477.DOC")</f>
        <v>https://docs.wto.org/imrd/directdoc.asp?DDFDocuments/t/G/TBTN16/KEN477.DOC</v>
      </c>
      <c r="K166" s="2" t="str">
        <f>HYPERLINK("https://docs.wto.org/imrd/directdoc.asp?DDFDocuments/u/G/TBTN16/KEN477.DOC")</f>
        <v>https://docs.wto.org/imrd/directdoc.asp?DDFDocuments/u/G/TBTN16/KEN477.DOC</v>
      </c>
      <c r="L166" s="2" t="str">
        <f>HYPERLINK("https://docs.wto.org/imrd/directdoc.asp?DDFDocuments/v/G/TBTN16/KEN477.DOC")</f>
        <v>https://docs.wto.org/imrd/directdoc.asp?DDFDocuments/v/G/TBTN16/KEN477.DOC</v>
      </c>
      <c r="M166" s="2" t="str">
        <f>HYPERLINK("http://www.epingalert.org/#/details/G/TBT/N/KEN/477")</f>
        <v>http://www.epingalert.org/#/details/G/TBT/N/KEN/477</v>
      </c>
      <c r="N166" s="2"/>
      <c r="O166" s="2"/>
    </row>
    <row r="167" spans="1:15" ht="165" outlineLevel="1" x14ac:dyDescent="0.25">
      <c r="A167" s="2" t="s">
        <v>12</v>
      </c>
      <c r="B167" s="4" t="s">
        <v>230</v>
      </c>
      <c r="C167" s="2" t="s">
        <v>231</v>
      </c>
      <c r="D167" s="2" t="s">
        <v>232</v>
      </c>
      <c r="E167" s="3">
        <v>42552</v>
      </c>
      <c r="F167" s="2" t="s">
        <v>233</v>
      </c>
      <c r="G167" s="2"/>
      <c r="H167" s="2" t="s">
        <v>82</v>
      </c>
      <c r="I167" s="3">
        <v>42612</v>
      </c>
      <c r="J167" s="2" t="str">
        <f>HYPERLINK("https://docs.wto.org/imrd/directdoc.asp?DDFDocuments/t/G/TBTN16/EU386.DOC")</f>
        <v>https://docs.wto.org/imrd/directdoc.asp?DDFDocuments/t/G/TBTN16/EU386.DOC</v>
      </c>
      <c r="K167" s="2" t="str">
        <f>HYPERLINK("https://docs.wto.org/imrd/directdoc.asp?DDFDocuments/u/G/TBTN16/EU386.DOC")</f>
        <v>https://docs.wto.org/imrd/directdoc.asp?DDFDocuments/u/G/TBTN16/EU386.DOC</v>
      </c>
      <c r="L167" s="2" t="str">
        <f>HYPERLINK("https://docs.wto.org/imrd/directdoc.asp?DDFDocuments/v/G/TBTN16/EU386.DOC")</f>
        <v>https://docs.wto.org/imrd/directdoc.asp?DDFDocuments/v/G/TBTN16/EU386.DOC</v>
      </c>
      <c r="M167" s="2" t="str">
        <f>HYPERLINK("http://www.epingalert.org/#/details/G/TBT/N/EU/386")</f>
        <v>http://www.epingalert.org/#/details/G/TBT/N/EU/386</v>
      </c>
      <c r="N167" s="2"/>
      <c r="O167" s="2"/>
    </row>
    <row r="168" spans="1:15" ht="285" outlineLevel="1" x14ac:dyDescent="0.25">
      <c r="A168" s="2" t="s">
        <v>225</v>
      </c>
      <c r="B168" s="4" t="s">
        <v>226</v>
      </c>
      <c r="C168" s="2" t="s">
        <v>227</v>
      </c>
      <c r="D168" s="2" t="s">
        <v>228</v>
      </c>
      <c r="E168" s="3">
        <v>42552</v>
      </c>
      <c r="F168" s="2" t="s">
        <v>229</v>
      </c>
      <c r="G168" s="2"/>
      <c r="H168" s="2" t="s">
        <v>217</v>
      </c>
      <c r="I168" s="3">
        <v>42611</v>
      </c>
      <c r="J168" s="2" t="str">
        <f>HYPERLINK("https://docs.wto.org/imrd/directdoc.asp?DDFDocuments/t/G/TBTN16/AUS101.DOC")</f>
        <v>https://docs.wto.org/imrd/directdoc.asp?DDFDocuments/t/G/TBTN16/AUS101.DOC</v>
      </c>
      <c r="K168" s="2" t="str">
        <f>HYPERLINK("https://docs.wto.org/imrd/directdoc.asp?DDFDocuments/u/G/TBTN16/AUS101.DOC")</f>
        <v>https://docs.wto.org/imrd/directdoc.asp?DDFDocuments/u/G/TBTN16/AUS101.DOC</v>
      </c>
      <c r="L168" s="2" t="str">
        <f>HYPERLINK("https://docs.wto.org/imrd/directdoc.asp?DDFDocuments/v/G/TBTN16/AUS101.DOC")</f>
        <v>https://docs.wto.org/imrd/directdoc.asp?DDFDocuments/v/G/TBTN16/AUS101.DOC</v>
      </c>
      <c r="M168" s="2" t="str">
        <f>HYPERLINK("http://www.epingalert.org/#/details/G/TBT/N/AUS/101")</f>
        <v>http://www.epingalert.org/#/details/G/TBT/N/AUS/101</v>
      </c>
      <c r="N168" s="2"/>
      <c r="O168" s="2"/>
    </row>
    <row r="169" spans="1:15" ht="75" outlineLevel="1" x14ac:dyDescent="0.25">
      <c r="A169" s="2" t="s">
        <v>25</v>
      </c>
      <c r="B169" s="4" t="s">
        <v>238</v>
      </c>
      <c r="C169" s="2" t="s">
        <v>239</v>
      </c>
      <c r="D169" s="2" t="s">
        <v>240</v>
      </c>
      <c r="E169" s="3">
        <v>42550</v>
      </c>
      <c r="F169" s="2" t="s">
        <v>241</v>
      </c>
      <c r="G169" s="2"/>
      <c r="H169" s="2" t="s">
        <v>17</v>
      </c>
      <c r="I169" s="3">
        <v>42610</v>
      </c>
      <c r="J169" s="2" t="str">
        <f>HYPERLINK("https://docs.wto.org/imrd/directdoc.asp?DDFDocuments/t/G/TBTN16/KOR656.DOC")</f>
        <v>https://docs.wto.org/imrd/directdoc.asp?DDFDocuments/t/G/TBTN16/KOR656.DOC</v>
      </c>
      <c r="K169" s="2" t="str">
        <f>HYPERLINK("https://docs.wto.org/imrd/directdoc.asp?DDFDocuments/u/G/TBTN16/KOR656.DOC")</f>
        <v>https://docs.wto.org/imrd/directdoc.asp?DDFDocuments/u/G/TBTN16/KOR656.DOC</v>
      </c>
      <c r="L169" s="2" t="str">
        <f>HYPERLINK("https://docs.wto.org/imrd/directdoc.asp?DDFDocuments/v/G/TBTN16/KOR656.DOC")</f>
        <v>https://docs.wto.org/imrd/directdoc.asp?DDFDocuments/v/G/TBTN16/KOR656.DOC</v>
      </c>
      <c r="M169" s="2" t="str">
        <f>HYPERLINK("http://www.epingalert.org/#/details/G/TBT/N/KOR/656")</f>
        <v>http://www.epingalert.org/#/details/G/TBT/N/KOR/656</v>
      </c>
      <c r="N169" s="2"/>
      <c r="O169" s="2"/>
    </row>
    <row r="170" spans="1:15" ht="180" outlineLevel="1" x14ac:dyDescent="0.25">
      <c r="A170" s="2" t="s">
        <v>42</v>
      </c>
      <c r="B170" s="4" t="s">
        <v>234</v>
      </c>
      <c r="C170" s="2" t="s">
        <v>235</v>
      </c>
      <c r="D170" s="2" t="s">
        <v>236</v>
      </c>
      <c r="E170" s="3">
        <v>42550</v>
      </c>
      <c r="F170" s="2" t="s">
        <v>237</v>
      </c>
      <c r="G170" s="2"/>
      <c r="H170" s="2" t="s">
        <v>17</v>
      </c>
      <c r="I170" s="3">
        <v>42608</v>
      </c>
      <c r="J170" s="2" t="str">
        <f>HYPERLINK("https://docs.wto.org/imrd/directdoc.asp?DDFDocuments/t/G/TBTN16/BRA681.DOC")</f>
        <v>https://docs.wto.org/imrd/directdoc.asp?DDFDocuments/t/G/TBTN16/BRA681.DOC</v>
      </c>
      <c r="K170" s="2" t="str">
        <f>HYPERLINK("https://docs.wto.org/imrd/directdoc.asp?DDFDocuments/u/G/TBTN16/BRA681.DOC")</f>
        <v>https://docs.wto.org/imrd/directdoc.asp?DDFDocuments/u/G/TBTN16/BRA681.DOC</v>
      </c>
      <c r="L170" s="2" t="str">
        <f>HYPERLINK("https://docs.wto.org/imrd/directdoc.asp?DDFDocuments/v/G/TBTN16/BRA681.DOC")</f>
        <v>https://docs.wto.org/imrd/directdoc.asp?DDFDocuments/v/G/TBTN16/BRA681.DOC</v>
      </c>
      <c r="M170" s="2" t="str">
        <f>HYPERLINK("http://www.epingalert.org/#/details/G/TBT/N/BRA/681")</f>
        <v>http://www.epingalert.org/#/details/G/TBT/N/BRA/681</v>
      </c>
      <c r="N170" s="2"/>
      <c r="O170" s="2"/>
    </row>
    <row r="171" spans="1:15" ht="120" outlineLevel="1" x14ac:dyDescent="0.25">
      <c r="A171" s="2" t="s">
        <v>181</v>
      </c>
      <c r="B171" s="4" t="s">
        <v>242</v>
      </c>
      <c r="C171" s="2" t="s">
        <v>243</v>
      </c>
      <c r="D171" s="2" t="s">
        <v>244</v>
      </c>
      <c r="E171" s="3">
        <v>42548</v>
      </c>
      <c r="F171" s="2" t="s">
        <v>245</v>
      </c>
      <c r="G171" s="2" t="s">
        <v>246</v>
      </c>
      <c r="H171" s="2" t="s">
        <v>247</v>
      </c>
      <c r="I171" s="3">
        <v>42608</v>
      </c>
      <c r="J171" s="2" t="str">
        <f>HYPERLINK("https://docs.wto.org/imrd/directdoc.asp?DDFDocuments/t/G/TBTN16/ARE316.DOC")</f>
        <v>https://docs.wto.org/imrd/directdoc.asp?DDFDocuments/t/G/TBTN16/ARE316.DOC</v>
      </c>
      <c r="K171" s="2" t="str">
        <f>HYPERLINK("https://docs.wto.org/imrd/directdoc.asp?DDFDocuments/u/G/TBTN16/ARE316.DOC")</f>
        <v>https://docs.wto.org/imrd/directdoc.asp?DDFDocuments/u/G/TBTN16/ARE316.DOC</v>
      </c>
      <c r="L171" s="2" t="str">
        <f>HYPERLINK("https://docs.wto.org/imrd/directdoc.asp?DDFDocuments/v/G/TBTN16/ARE316.DOC")</f>
        <v>https://docs.wto.org/imrd/directdoc.asp?DDFDocuments/v/G/TBTN16/ARE316.DOC</v>
      </c>
      <c r="M171" s="2" t="str">
        <f>HYPERLINK("http://www.epingalert.org/#/details/G/TBT/N/ARE/316#G/TBT/N/BHR/440#G/TBT/N/KWT/322#G/TBT/N/OMN/260#G/TBT/N/QAT/436#G/TBT/N/SAU/936#G/TBT/N/YEM/42")</f>
        <v>http://www.epingalert.org/#/details/G/TBT/N/ARE/316#G/TBT/N/BHR/440#G/TBT/N/KWT/322#G/TBT/N/OMN/260#G/TBT/N/QAT/436#G/TBT/N/SAU/936#G/TBT/N/YEM/42</v>
      </c>
      <c r="N171" s="2"/>
      <c r="O171" s="2"/>
    </row>
    <row r="172" spans="1:15" ht="120" outlineLevel="1" x14ac:dyDescent="0.25">
      <c r="A172" s="2" t="s">
        <v>184</v>
      </c>
      <c r="B172" s="4" t="s">
        <v>242</v>
      </c>
      <c r="C172" s="2" t="s">
        <v>243</v>
      </c>
      <c r="D172" s="2" t="s">
        <v>244</v>
      </c>
      <c r="E172" s="3">
        <v>42548</v>
      </c>
      <c r="F172" s="2" t="s">
        <v>245</v>
      </c>
      <c r="G172" s="2" t="s">
        <v>246</v>
      </c>
      <c r="H172" s="2" t="s">
        <v>30</v>
      </c>
      <c r="I172" s="3">
        <v>42608</v>
      </c>
      <c r="J172" s="2" t="str">
        <f>HYPERLINK("https://docs.wto.org/imrd/directdoc.asp?DDFDocuments/t/G/TBTN16/ARE316.DOC")</f>
        <v>https://docs.wto.org/imrd/directdoc.asp?DDFDocuments/t/G/TBTN16/ARE316.DOC</v>
      </c>
      <c r="K172" s="2" t="str">
        <f>HYPERLINK("https://docs.wto.org/imrd/directdoc.asp?DDFDocuments/u/G/TBTN16/ARE316.DOC")</f>
        <v>https://docs.wto.org/imrd/directdoc.asp?DDFDocuments/u/G/TBTN16/ARE316.DOC</v>
      </c>
      <c r="L172" s="2" t="str">
        <f>HYPERLINK("https://docs.wto.org/imrd/directdoc.asp?DDFDocuments/v/G/TBTN16/ARE316.DOC")</f>
        <v>https://docs.wto.org/imrd/directdoc.asp?DDFDocuments/v/G/TBTN16/ARE316.DOC</v>
      </c>
      <c r="M172" s="2" t="str">
        <f>HYPERLINK("http://www.epingalert.org/#/details/G/TBT/N/ARE/316#G/TBT/N/BHR/440#G/TBT/N/KWT/322#G/TBT/N/OMN/260#G/TBT/N/QAT/436#G/TBT/N/SAU/936#G/TBT/N/YEM/42")</f>
        <v>http://www.epingalert.org/#/details/G/TBT/N/ARE/316#G/TBT/N/BHR/440#G/TBT/N/KWT/322#G/TBT/N/OMN/260#G/TBT/N/QAT/436#G/TBT/N/SAU/936#G/TBT/N/YEM/42</v>
      </c>
      <c r="N172" s="2"/>
      <c r="O172" s="2"/>
    </row>
    <row r="173" spans="1:15" ht="120" outlineLevel="1" x14ac:dyDescent="0.25">
      <c r="A173" s="2" t="s">
        <v>184</v>
      </c>
      <c r="B173" s="4" t="s">
        <v>248</v>
      </c>
      <c r="C173" s="2" t="s">
        <v>249</v>
      </c>
      <c r="D173" s="2" t="s">
        <v>250</v>
      </c>
      <c r="E173" s="3">
        <v>42548</v>
      </c>
      <c r="F173" s="2" t="s">
        <v>75</v>
      </c>
      <c r="G173" s="2" t="s">
        <v>76</v>
      </c>
      <c r="H173" s="2" t="s">
        <v>30</v>
      </c>
      <c r="I173" s="3">
        <v>42608</v>
      </c>
      <c r="J173" s="2" t="str">
        <f>HYPERLINK("https://docs.wto.org/imrd/directdoc.asp?DDFDocuments/t/G/TBTN16/ARE315.DOC")</f>
        <v>https://docs.wto.org/imrd/directdoc.asp?DDFDocuments/t/G/TBTN16/ARE315.DOC</v>
      </c>
      <c r="K173" s="2" t="str">
        <f>HYPERLINK("https://docs.wto.org/imrd/directdoc.asp?DDFDocuments/u/G/TBTN16/ARE315.DOC")</f>
        <v>https://docs.wto.org/imrd/directdoc.asp?DDFDocuments/u/G/TBTN16/ARE315.DOC</v>
      </c>
      <c r="L173" s="2" t="str">
        <f>HYPERLINK("https://docs.wto.org/imrd/directdoc.asp?DDFDocuments/v/G/TBTN16/ARE315.DOC")</f>
        <v>https://docs.wto.org/imrd/directdoc.asp?DDFDocuments/v/G/TBTN16/ARE315.DOC</v>
      </c>
      <c r="M173" s="2" t="str">
        <f>HYPERLINK("http://www.epingalert.org/#/details/G/TBT/N/ARE/315#G/TBT/N/BHR/439#G/TBT/N/KWT/321#G/TBT/N/OMN/259#G/TBT/N/QAT/435#G/TBT/N/SAU/935#G/TBT/N/YEM/41")</f>
        <v>http://www.epingalert.org/#/details/G/TBT/N/ARE/315#G/TBT/N/BHR/439#G/TBT/N/KWT/321#G/TBT/N/OMN/259#G/TBT/N/QAT/435#G/TBT/N/SAU/935#G/TBT/N/YEM/41</v>
      </c>
      <c r="N173" s="2"/>
      <c r="O173" s="2"/>
    </row>
    <row r="174" spans="1:15" ht="255" outlineLevel="1" x14ac:dyDescent="0.25">
      <c r="A174" s="2" t="s">
        <v>18</v>
      </c>
      <c r="B174" s="4" t="s">
        <v>1694</v>
      </c>
      <c r="C174" s="2" t="s">
        <v>1695</v>
      </c>
      <c r="D174" s="2" t="s">
        <v>1696</v>
      </c>
      <c r="E174" s="3">
        <v>42548</v>
      </c>
      <c r="F174" s="2" t="s">
        <v>1627</v>
      </c>
      <c r="G174" s="2" t="s">
        <v>1628</v>
      </c>
      <c r="H174" s="2" t="s">
        <v>24</v>
      </c>
      <c r="I174" s="3">
        <v>42604</v>
      </c>
      <c r="J174" s="2" t="str">
        <f>HYPERLINK("https://docs.wto.org/imrd/directdoc.asp?DDFDocuments/t/G/TBTN16/USA1157.DOC")</f>
        <v>https://docs.wto.org/imrd/directdoc.asp?DDFDocuments/t/G/TBTN16/USA1157.DOC</v>
      </c>
      <c r="K174" s="2" t="str">
        <f>HYPERLINK("https://docs.wto.org/imrd/directdoc.asp?DDFDocuments/u/G/TBTN16/USA1157.DOC")</f>
        <v>https://docs.wto.org/imrd/directdoc.asp?DDFDocuments/u/G/TBTN16/USA1157.DOC</v>
      </c>
      <c r="L174" s="2" t="str">
        <f>HYPERLINK("https://docs.wto.org/imrd/directdoc.asp?DDFDocuments/v/G/TBTN16/USA1157.DOC")</f>
        <v>https://docs.wto.org/imrd/directdoc.asp?DDFDocuments/v/G/TBTN16/USA1157.DOC</v>
      </c>
      <c r="M174" s="2" t="str">
        <f>HYPERLINK("http://www.epingalert.org/#/details/G/TBT/N/USA/1157")</f>
        <v>http://www.epingalert.org/#/details/G/TBT/N/USA/1157</v>
      </c>
      <c r="N174" s="2"/>
      <c r="O174" s="2"/>
    </row>
    <row r="175" spans="1:15" ht="300" outlineLevel="1" x14ac:dyDescent="0.25">
      <c r="A175" s="2" t="s">
        <v>18</v>
      </c>
      <c r="B175" s="2" t="s">
        <v>9047</v>
      </c>
      <c r="C175" s="2" t="s">
        <v>1698</v>
      </c>
      <c r="D175" s="2" t="s">
        <v>1699</v>
      </c>
      <c r="E175" s="3">
        <v>42544</v>
      </c>
      <c r="F175" s="2" t="s">
        <v>1700</v>
      </c>
      <c r="G175" s="2" t="s">
        <v>1701</v>
      </c>
      <c r="H175" s="2" t="s">
        <v>24</v>
      </c>
      <c r="I175" s="3">
        <v>42604</v>
      </c>
      <c r="J175" s="27" t="s">
        <v>9046</v>
      </c>
      <c r="K175" s="2" t="str">
        <f>HYPERLINK("https://docs.wto.org/imrd/directdoc.asp?DDFDocuments/u/G/TBTN16/USA1156.DOC")</f>
        <v>https://docs.wto.org/imrd/directdoc.asp?DDFDocuments/u/G/TBTN16/USA1156.DOC</v>
      </c>
      <c r="L175" s="2" t="str">
        <f>HYPERLINK("https://docs.wto.org/imrd/directdoc.asp?DDFDocuments/v/G/TBTN16/USA1156.DOC")</f>
        <v>https://docs.wto.org/imrd/directdoc.asp?DDFDocuments/v/G/TBTN16/USA1156.DOC</v>
      </c>
      <c r="M175" s="2"/>
      <c r="N175" s="2"/>
      <c r="O175" s="2"/>
    </row>
    <row r="176" spans="1:15" ht="105" outlineLevel="1" x14ac:dyDescent="0.25">
      <c r="A176" s="2" t="s">
        <v>25</v>
      </c>
      <c r="B176" s="4" t="s">
        <v>251</v>
      </c>
      <c r="C176" s="2" t="s">
        <v>252</v>
      </c>
      <c r="D176" s="2" t="s">
        <v>253</v>
      </c>
      <c r="E176" s="3">
        <v>42544</v>
      </c>
      <c r="F176" s="2" t="s">
        <v>46</v>
      </c>
      <c r="G176" s="2"/>
      <c r="H176" s="2" t="s">
        <v>58</v>
      </c>
      <c r="I176" s="3">
        <v>42604</v>
      </c>
      <c r="J176" s="2" t="str">
        <f>HYPERLINK("https://docs.wto.org/imrd/directdoc.asp?DDFDocuments/t/G/TBTN16/KOR652.DOC")</f>
        <v>https://docs.wto.org/imrd/directdoc.asp?DDFDocuments/t/G/TBTN16/KOR652.DOC</v>
      </c>
      <c r="K176" s="2" t="str">
        <f>HYPERLINK("https://docs.wto.org/imrd/directdoc.asp?DDFDocuments/u/G/TBTN16/KOR652.DOC")</f>
        <v>https://docs.wto.org/imrd/directdoc.asp?DDFDocuments/u/G/TBTN16/KOR652.DOC</v>
      </c>
      <c r="L176" s="2" t="str">
        <f>HYPERLINK("https://docs.wto.org/imrd/directdoc.asp?DDFDocuments/v/G/TBTN16/KOR652.DOC")</f>
        <v>https://docs.wto.org/imrd/directdoc.asp?DDFDocuments/v/G/TBTN16/KOR652.DOC</v>
      </c>
      <c r="M176" s="2" t="str">
        <f>HYPERLINK("http://www.epingalert.org/#/details/G/TBT/N/KOR/652")</f>
        <v>http://www.epingalert.org/#/details/G/TBT/N/KOR/652</v>
      </c>
      <c r="N176" s="2"/>
      <c r="O176" s="2"/>
    </row>
    <row r="177" spans="1:15" ht="300" outlineLevel="1" x14ac:dyDescent="0.25">
      <c r="A177" s="2" t="s">
        <v>18</v>
      </c>
      <c r="B177" s="4" t="s">
        <v>1697</v>
      </c>
      <c r="C177" s="2" t="s">
        <v>1698</v>
      </c>
      <c r="D177" s="2" t="s">
        <v>1699</v>
      </c>
      <c r="E177" s="3">
        <v>42544</v>
      </c>
      <c r="F177" s="2" t="s">
        <v>1700</v>
      </c>
      <c r="G177" s="2" t="s">
        <v>1701</v>
      </c>
      <c r="H177" s="2" t="s">
        <v>24</v>
      </c>
      <c r="I177" s="3">
        <v>42604</v>
      </c>
      <c r="J177" s="2" t="str">
        <f>HYPERLINK("https://docs.wto.org/imrd/directdoc.asp?DDFDocuments/t/G/TBTN16/USA1156.DOC")</f>
        <v>https://docs.wto.org/imrd/directdoc.asp?DDFDocuments/t/G/TBTN16/USA1156.DOC</v>
      </c>
      <c r="K177" s="2" t="str">
        <f>HYPERLINK("https://docs.wto.org/imrd/directdoc.asp?DDFDocuments/u/G/TBTN16/USA1156.DOC")</f>
        <v>https://docs.wto.org/imrd/directdoc.asp?DDFDocuments/u/G/TBTN16/USA1156.DOC</v>
      </c>
      <c r="L177" s="2" t="str">
        <f>HYPERLINK("https://docs.wto.org/imrd/directdoc.asp?DDFDocuments/v/G/TBTN16/USA1156.DOC")</f>
        <v>https://docs.wto.org/imrd/directdoc.asp?DDFDocuments/v/G/TBTN16/USA1156.DOC</v>
      </c>
      <c r="M177" s="2" t="str">
        <f>HYPERLINK("http://www.epingalert.org/#/details/G/TBT/N/USA/1156")</f>
        <v>http://www.epingalert.org/#/details/G/TBT/N/USA/1156</v>
      </c>
      <c r="N177" s="2"/>
      <c r="O177" s="2"/>
    </row>
    <row r="178" spans="1:15" ht="90" outlineLevel="1" x14ac:dyDescent="0.25">
      <c r="A178" s="2" t="s">
        <v>71</v>
      </c>
      <c r="B178" s="4" t="s">
        <v>254</v>
      </c>
      <c r="C178" s="2" t="s">
        <v>255</v>
      </c>
      <c r="D178" s="2" t="s">
        <v>256</v>
      </c>
      <c r="E178" s="3">
        <v>42541</v>
      </c>
      <c r="F178" s="2" t="s">
        <v>75</v>
      </c>
      <c r="G178" s="2" t="s">
        <v>76</v>
      </c>
      <c r="H178" s="2" t="s">
        <v>17</v>
      </c>
      <c r="I178" s="3">
        <v>42587</v>
      </c>
      <c r="J178" s="2" t="str">
        <f>HYPERLINK("https://docs.wto.org/imrd/directdoc.asp?DDFDocuments/t/G/TBTN16/SVN98.DOC")</f>
        <v>https://docs.wto.org/imrd/directdoc.asp?DDFDocuments/t/G/TBTN16/SVN98.DOC</v>
      </c>
      <c r="K178" s="2" t="str">
        <f>HYPERLINK("https://docs.wto.org/imrd/directdoc.asp?DDFDocuments/u/G/TBTN16/SVN98.DOC")</f>
        <v>https://docs.wto.org/imrd/directdoc.asp?DDFDocuments/u/G/TBTN16/SVN98.DOC</v>
      </c>
      <c r="L178" s="2" t="str">
        <f>HYPERLINK("https://docs.wto.org/imrd/directdoc.asp?DDFDocuments/v/G/TBTN16/SVN98.DOC")</f>
        <v>https://docs.wto.org/imrd/directdoc.asp?DDFDocuments/v/G/TBTN16/SVN98.DOC</v>
      </c>
      <c r="M178" s="2" t="str">
        <f>HYPERLINK("http://www.epingalert.org/#/details/G/TBT/N/SVN/98")</f>
        <v>http://www.epingalert.org/#/details/G/TBT/N/SVN/98</v>
      </c>
      <c r="N178" s="2"/>
      <c r="O178" s="2"/>
    </row>
    <row r="179" spans="1:15" ht="165" outlineLevel="1" x14ac:dyDescent="0.25">
      <c r="A179" s="2" t="s">
        <v>42</v>
      </c>
      <c r="B179" s="4" t="s">
        <v>2045</v>
      </c>
      <c r="C179" s="2" t="s">
        <v>2046</v>
      </c>
      <c r="D179" s="2" t="s">
        <v>2047</v>
      </c>
      <c r="E179" s="3">
        <v>42535</v>
      </c>
      <c r="F179" s="2" t="s">
        <v>2048</v>
      </c>
      <c r="G179" s="2" t="s">
        <v>2049</v>
      </c>
      <c r="H179" s="2" t="s">
        <v>127</v>
      </c>
      <c r="I179" s="3">
        <v>42585</v>
      </c>
      <c r="J179" s="2" t="str">
        <f>HYPERLINK("https://docs.wto.org/imrd/directdoc.asp?DDFDocuments/t/G/TBTN16/BRA679.DOC")</f>
        <v>https://docs.wto.org/imrd/directdoc.asp?DDFDocuments/t/G/TBTN16/BRA679.DOC</v>
      </c>
      <c r="K179" s="2" t="str">
        <f>HYPERLINK("https://docs.wto.org/imrd/directdoc.asp?DDFDocuments/u/G/TBTN16/BRA679.DOC")</f>
        <v>https://docs.wto.org/imrd/directdoc.asp?DDFDocuments/u/G/TBTN16/BRA679.DOC</v>
      </c>
      <c r="L179" s="2" t="str">
        <f>HYPERLINK("https://docs.wto.org/imrd/directdoc.asp?DDFDocuments/v/G/TBTN16/BRA679.DOC")</f>
        <v>https://docs.wto.org/imrd/directdoc.asp?DDFDocuments/v/G/TBTN16/BRA679.DOC</v>
      </c>
      <c r="M179" s="2" t="str">
        <f>HYPERLINK("http://www.epingalert.org/#/details/G/TBT/N/BRA/679")</f>
        <v>http://www.epingalert.org/#/details/G/TBT/N/BRA/679</v>
      </c>
      <c r="N179" s="2"/>
      <c r="O179" s="2"/>
    </row>
    <row r="180" spans="1:15" ht="300" outlineLevel="1" x14ac:dyDescent="0.25">
      <c r="A180" s="2" t="s">
        <v>1488</v>
      </c>
      <c r="B180" s="4" t="s">
        <v>1489</v>
      </c>
      <c r="C180" s="2" t="s">
        <v>1490</v>
      </c>
      <c r="D180" s="2" t="s">
        <v>1491</v>
      </c>
      <c r="E180" s="3">
        <v>42534</v>
      </c>
      <c r="F180" s="2" t="s">
        <v>1492</v>
      </c>
      <c r="G180" s="2" t="s">
        <v>1493</v>
      </c>
      <c r="H180" s="2" t="s">
        <v>82</v>
      </c>
      <c r="I180" s="3">
        <v>42594</v>
      </c>
      <c r="J180" s="2" t="str">
        <f>HYPERLINK("https://docs.wto.org/imrd/directdoc.asp?DDFDocuments/t/G/TBTN16/MEX311.DOC")</f>
        <v>https://docs.wto.org/imrd/directdoc.asp?DDFDocuments/t/G/TBTN16/MEX311.DOC</v>
      </c>
      <c r="K180" s="2" t="str">
        <f>HYPERLINK("https://docs.wto.org/imrd/directdoc.asp?DDFDocuments/u/G/TBTN16/MEX311.DOC")</f>
        <v>https://docs.wto.org/imrd/directdoc.asp?DDFDocuments/u/G/TBTN16/MEX311.DOC</v>
      </c>
      <c r="L180" s="2" t="str">
        <f>HYPERLINK("https://docs.wto.org/imrd/directdoc.asp?DDFDocuments/v/G/TBTN16/MEX311.DOC")</f>
        <v>https://docs.wto.org/imrd/directdoc.asp?DDFDocuments/v/G/TBTN16/MEX311.DOC</v>
      </c>
      <c r="M180" s="2" t="str">
        <f>HYPERLINK("http://www.epingalert.org/#/details/G/TBT/N/MEX/311")</f>
        <v>http://www.epingalert.org/#/details/G/TBT/N/MEX/311</v>
      </c>
      <c r="N180" s="2"/>
      <c r="O180" s="2"/>
    </row>
    <row r="181" spans="1:15" ht="240" outlineLevel="1" x14ac:dyDescent="0.25">
      <c r="A181" s="2" t="s">
        <v>25</v>
      </c>
      <c r="B181" s="4" t="s">
        <v>257</v>
      </c>
      <c r="C181" s="2" t="s">
        <v>258</v>
      </c>
      <c r="D181" s="2" t="s">
        <v>259</v>
      </c>
      <c r="E181" s="3">
        <v>42531</v>
      </c>
      <c r="F181" s="2" t="s">
        <v>46</v>
      </c>
      <c r="G181" s="2"/>
      <c r="H181" s="2" t="s">
        <v>58</v>
      </c>
      <c r="I181" s="3">
        <v>42591</v>
      </c>
      <c r="J181" s="2" t="str">
        <f>HYPERLINK("https://docs.wto.org/imrd/directdoc.asp?DDFDocuments/t/G/TBTN16/KOR651.DOC")</f>
        <v>https://docs.wto.org/imrd/directdoc.asp?DDFDocuments/t/G/TBTN16/KOR651.DOC</v>
      </c>
      <c r="K181" s="2" t="str">
        <f>HYPERLINK("https://docs.wto.org/imrd/directdoc.asp?DDFDocuments/u/G/TBTN16/KOR651.DOC")</f>
        <v>https://docs.wto.org/imrd/directdoc.asp?DDFDocuments/u/G/TBTN16/KOR651.DOC</v>
      </c>
      <c r="L181" s="2" t="str">
        <f>HYPERLINK("https://docs.wto.org/imrd/directdoc.asp?DDFDocuments/v/G/TBTN16/KOR651.DOC")</f>
        <v>https://docs.wto.org/imrd/directdoc.asp?DDFDocuments/v/G/TBTN16/KOR651.DOC</v>
      </c>
      <c r="M181" s="2" t="str">
        <f>HYPERLINK("http://www.epingalert.org/#/details/G/TBT/N/KOR/651")</f>
        <v>http://www.epingalert.org/#/details/G/TBT/N/KOR/651</v>
      </c>
      <c r="N181" s="2"/>
      <c r="O181" s="2"/>
    </row>
    <row r="182" spans="1:15" ht="409.5" outlineLevel="1" x14ac:dyDescent="0.25">
      <c r="A182" s="2" t="s">
        <v>1702</v>
      </c>
      <c r="B182" s="4" t="s">
        <v>1703</v>
      </c>
      <c r="C182" s="2" t="s">
        <v>1704</v>
      </c>
      <c r="D182" s="2" t="s">
        <v>1705</v>
      </c>
      <c r="E182" s="3">
        <v>42530</v>
      </c>
      <c r="F182" s="2" t="s">
        <v>1706</v>
      </c>
      <c r="G182" s="2" t="s">
        <v>1707</v>
      </c>
      <c r="H182" s="2" t="s">
        <v>17</v>
      </c>
      <c r="I182" s="3">
        <v>42590</v>
      </c>
      <c r="J182" s="2" t="str">
        <f>HYPERLINK("https://docs.wto.org/imrd/directdoc.asp?DDFDocuments/t/G/TBTN16/IRL2.DOC")</f>
        <v>https://docs.wto.org/imrd/directdoc.asp?DDFDocuments/t/G/TBTN16/IRL2.DOC</v>
      </c>
      <c r="K182" s="2" t="str">
        <f>HYPERLINK("https://docs.wto.org/imrd/directdoc.asp?DDFDocuments/u/G/TBTN16/IRL2.DOC")</f>
        <v>https://docs.wto.org/imrd/directdoc.asp?DDFDocuments/u/G/TBTN16/IRL2.DOC</v>
      </c>
      <c r="L182" s="2" t="str">
        <f>HYPERLINK("https://docs.wto.org/imrd/directdoc.asp?DDFDocuments/v/G/TBTN16/IRL2.DOC")</f>
        <v>https://docs.wto.org/imrd/directdoc.asp?DDFDocuments/v/G/TBTN16/IRL2.DOC</v>
      </c>
      <c r="M182" s="2" t="str">
        <f>HYPERLINK("http://www.epingalert.org/#/details/G/TBT/N/IRL/2")</f>
        <v>http://www.epingalert.org/#/details/G/TBT/N/IRL/2</v>
      </c>
      <c r="N182" s="2"/>
      <c r="O182" s="2"/>
    </row>
    <row r="183" spans="1:15" ht="90" outlineLevel="1" x14ac:dyDescent="0.25">
      <c r="A183" s="2" t="s">
        <v>264</v>
      </c>
      <c r="B183" s="4" t="s">
        <v>265</v>
      </c>
      <c r="C183" s="2" t="s">
        <v>266</v>
      </c>
      <c r="D183" s="2" t="s">
        <v>267</v>
      </c>
      <c r="E183" s="3">
        <v>42530</v>
      </c>
      <c r="F183" s="2" t="s">
        <v>268</v>
      </c>
      <c r="G183" s="2"/>
      <c r="H183" s="2" t="s">
        <v>17</v>
      </c>
      <c r="I183" s="3">
        <v>42564</v>
      </c>
      <c r="J183" s="2" t="str">
        <f>HYPERLINK("https://docs.wto.org/imrd/directdoc.asp?DDFDocuments/t/G/TBTN16/ARM75.DOC")</f>
        <v>https://docs.wto.org/imrd/directdoc.asp?DDFDocuments/t/G/TBTN16/ARM75.DOC</v>
      </c>
      <c r="K183" s="2" t="str">
        <f>HYPERLINK("https://docs.wto.org/imrd/directdoc.asp?DDFDocuments/u/G/TBTN16/ARM75.DOC")</f>
        <v>https://docs.wto.org/imrd/directdoc.asp?DDFDocuments/u/G/TBTN16/ARM75.DOC</v>
      </c>
      <c r="L183" s="2" t="str">
        <f>HYPERLINK("https://docs.wto.org/imrd/directdoc.asp?DDFDocuments/v/G/TBTN16/ARM75.DOC")</f>
        <v>https://docs.wto.org/imrd/directdoc.asp?DDFDocuments/v/G/TBTN16/ARM75.DOC</v>
      </c>
      <c r="M183" s="2" t="str">
        <f>HYPERLINK("http://www.epingalert.org/#/details/G/TBT/N/ARM/75")</f>
        <v>http://www.epingalert.org/#/details/G/TBT/N/ARM/75</v>
      </c>
      <c r="N183" s="2"/>
      <c r="O183" s="2"/>
    </row>
    <row r="184" spans="1:15" ht="409.5" outlineLevel="1" x14ac:dyDescent="0.25">
      <c r="A184" s="2" t="s">
        <v>47</v>
      </c>
      <c r="B184" s="4" t="s">
        <v>260</v>
      </c>
      <c r="C184" s="2" t="s">
        <v>261</v>
      </c>
      <c r="D184" s="2" t="s">
        <v>262</v>
      </c>
      <c r="E184" s="3">
        <v>42530</v>
      </c>
      <c r="F184" s="2" t="s">
        <v>263</v>
      </c>
      <c r="G184" s="2" t="s">
        <v>23</v>
      </c>
      <c r="H184" s="2" t="s">
        <v>17</v>
      </c>
      <c r="I184" s="2"/>
      <c r="J184" s="2" t="str">
        <f>HYPERLINK("https://docs.wto.org/imrd/directdoc.asp?DDFDocuments/t/G/TBTN16/ISR935.DOC")</f>
        <v>https://docs.wto.org/imrd/directdoc.asp?DDFDocuments/t/G/TBTN16/ISR935.DOC</v>
      </c>
      <c r="K184" s="2" t="str">
        <f>HYPERLINK("https://docs.wto.org/imrd/directdoc.asp?DDFDocuments/u/G/TBTN16/ISR935.DOC")</f>
        <v>https://docs.wto.org/imrd/directdoc.asp?DDFDocuments/u/G/TBTN16/ISR935.DOC</v>
      </c>
      <c r="L184" s="2" t="str">
        <f>HYPERLINK("https://docs.wto.org/imrd/directdoc.asp?DDFDocuments/v/G/TBTN16/ISR935.DOC")</f>
        <v>https://docs.wto.org/imrd/directdoc.asp?DDFDocuments/v/G/TBTN16/ISR935.DOC</v>
      </c>
      <c r="M184" s="2" t="str">
        <f>HYPERLINK("http://www.epingalert.org/#/details/G/TBT/N/ISR/935")</f>
        <v>http://www.epingalert.org/#/details/G/TBT/N/ISR/935</v>
      </c>
      <c r="N184" s="2"/>
      <c r="O184" s="2"/>
    </row>
    <row r="185" spans="1:15" ht="90" outlineLevel="1" x14ac:dyDescent="0.25">
      <c r="A185" s="2" t="s">
        <v>269</v>
      </c>
      <c r="B185" s="4" t="s">
        <v>270</v>
      </c>
      <c r="C185" s="2" t="s">
        <v>271</v>
      </c>
      <c r="D185" s="2" t="s">
        <v>272</v>
      </c>
      <c r="E185" s="3">
        <v>42527</v>
      </c>
      <c r="F185" s="2" t="s">
        <v>268</v>
      </c>
      <c r="G185" s="2"/>
      <c r="H185" s="2" t="s">
        <v>17</v>
      </c>
      <c r="I185" s="3">
        <v>42564</v>
      </c>
      <c r="J185" s="2" t="str">
        <f>HYPERLINK("https://docs.wto.org/imrd/directdoc.asp?DDFDocuments/t/G/TBTN16/KAZ6.DOC")</f>
        <v>https://docs.wto.org/imrd/directdoc.asp?DDFDocuments/t/G/TBTN16/KAZ6.DOC</v>
      </c>
      <c r="K185" s="2" t="str">
        <f>HYPERLINK("https://docs.wto.org/imrd/directdoc.asp?DDFDocuments/u/G/TBTN16/KAZ6.DOC")</f>
        <v>https://docs.wto.org/imrd/directdoc.asp?DDFDocuments/u/G/TBTN16/KAZ6.DOC</v>
      </c>
      <c r="L185" s="2" t="str">
        <f>HYPERLINK("https://docs.wto.org/imrd/directdoc.asp?DDFDocuments/v/G/TBTN16/KAZ6.DOC")</f>
        <v>https://docs.wto.org/imrd/directdoc.asp?DDFDocuments/v/G/TBTN16/KAZ6.DOC</v>
      </c>
      <c r="M185" s="2" t="str">
        <f>HYPERLINK("http://www.epingalert.org/#/details/G/TBT/N/KAZ/6")</f>
        <v>http://www.epingalert.org/#/details/G/TBT/N/KAZ/6</v>
      </c>
      <c r="N185" s="2"/>
      <c r="O185" s="2"/>
    </row>
    <row r="186" spans="1:15" ht="330" outlineLevel="1" x14ac:dyDescent="0.25">
      <c r="A186" s="2" t="s">
        <v>47</v>
      </c>
      <c r="B186" s="4" t="s">
        <v>273</v>
      </c>
      <c r="C186" s="2" t="s">
        <v>274</v>
      </c>
      <c r="D186" s="2" t="s">
        <v>275</v>
      </c>
      <c r="E186" s="3">
        <v>42523</v>
      </c>
      <c r="F186" s="2" t="s">
        <v>276</v>
      </c>
      <c r="G186" s="2" t="s">
        <v>277</v>
      </c>
      <c r="H186" s="2" t="s">
        <v>17</v>
      </c>
      <c r="I186" s="3">
        <v>42583</v>
      </c>
      <c r="J186" s="2" t="str">
        <f>HYPERLINK("https://docs.wto.org/imrd/directdoc.asp?DDFDocuments/t/G/TBTN16/ISR927.DOC")</f>
        <v>https://docs.wto.org/imrd/directdoc.asp?DDFDocuments/t/G/TBTN16/ISR927.DOC</v>
      </c>
      <c r="K186" s="2" t="str">
        <f>HYPERLINK("https://docs.wto.org/imrd/directdoc.asp?DDFDocuments/u/G/TBTN16/ISR927.DOC")</f>
        <v>https://docs.wto.org/imrd/directdoc.asp?DDFDocuments/u/G/TBTN16/ISR927.DOC</v>
      </c>
      <c r="L186" s="2" t="str">
        <f>HYPERLINK("https://docs.wto.org/imrd/directdoc.asp?DDFDocuments/v/G/TBTN16/ISR927.DOC")</f>
        <v>https://docs.wto.org/imrd/directdoc.asp?DDFDocuments/v/G/TBTN16/ISR927.DOC</v>
      </c>
      <c r="M186" s="2" t="str">
        <f>HYPERLINK("http://www.epingalert.org/#/details/G/TBT/N/ISR/927")</f>
        <v>http://www.epingalert.org/#/details/G/TBT/N/ISR/927</v>
      </c>
      <c r="N186" s="2"/>
      <c r="O186" s="2"/>
    </row>
    <row r="187" spans="1:15" ht="150" outlineLevel="1" x14ac:dyDescent="0.25">
      <c r="A187" s="2" t="s">
        <v>47</v>
      </c>
      <c r="B187" s="4" t="s">
        <v>2050</v>
      </c>
      <c r="C187" s="2" t="s">
        <v>2051</v>
      </c>
      <c r="D187" s="2" t="s">
        <v>2052</v>
      </c>
      <c r="E187" s="3">
        <v>42523</v>
      </c>
      <c r="F187" s="2" t="s">
        <v>2053</v>
      </c>
      <c r="G187" s="2" t="s">
        <v>2054</v>
      </c>
      <c r="H187" s="2" t="s">
        <v>17</v>
      </c>
      <c r="I187" s="3">
        <v>42583</v>
      </c>
      <c r="J187" s="2" t="str">
        <f>HYPERLINK("https://docs.wto.org/imrd/directdoc.asp?DDFDocuments/t/G/TBTN16/ISR934.DOC")</f>
        <v>https://docs.wto.org/imrd/directdoc.asp?DDFDocuments/t/G/TBTN16/ISR934.DOC</v>
      </c>
      <c r="K187" s="2" t="str">
        <f>HYPERLINK("https://docs.wto.org/imrd/directdoc.asp?DDFDocuments/u/G/TBTN16/ISR934.DOC")</f>
        <v>https://docs.wto.org/imrd/directdoc.asp?DDFDocuments/u/G/TBTN16/ISR934.DOC</v>
      </c>
      <c r="L187" s="2" t="str">
        <f>HYPERLINK("https://docs.wto.org/imrd/directdoc.asp?DDFDocuments/v/G/TBTN16/ISR934.DOC")</f>
        <v>https://docs.wto.org/imrd/directdoc.asp?DDFDocuments/v/G/TBTN16/ISR934.DOC</v>
      </c>
      <c r="M187" s="2" t="str">
        <f>HYPERLINK("http://www.epingalert.org/#/details/G/TBT/N/ISR/934")</f>
        <v>http://www.epingalert.org/#/details/G/TBT/N/ISR/934</v>
      </c>
      <c r="N187" s="2"/>
      <c r="O187" s="2"/>
    </row>
    <row r="188" spans="1:15" ht="165" outlineLevel="1" x14ac:dyDescent="0.25">
      <c r="A188" s="2" t="s">
        <v>47</v>
      </c>
      <c r="B188" s="4" t="s">
        <v>2055</v>
      </c>
      <c r="C188" s="2" t="s">
        <v>2056</v>
      </c>
      <c r="D188" s="2" t="s">
        <v>2057</v>
      </c>
      <c r="E188" s="3">
        <v>42523</v>
      </c>
      <c r="F188" s="2" t="s">
        <v>2058</v>
      </c>
      <c r="G188" s="2" t="s">
        <v>2059</v>
      </c>
      <c r="H188" s="2" t="s">
        <v>17</v>
      </c>
      <c r="I188" s="3">
        <v>42583</v>
      </c>
      <c r="J188" s="2" t="str">
        <f>HYPERLINK("https://docs.wto.org/imrd/directdoc.asp?DDFDocuments/t/G/TBTN16/ISR933.DOC")</f>
        <v>https://docs.wto.org/imrd/directdoc.asp?DDFDocuments/t/G/TBTN16/ISR933.DOC</v>
      </c>
      <c r="K188" s="2" t="str">
        <f>HYPERLINK("https://docs.wto.org/imrd/directdoc.asp?DDFDocuments/u/G/TBTN16/ISR933.DOC")</f>
        <v>https://docs.wto.org/imrd/directdoc.asp?DDFDocuments/u/G/TBTN16/ISR933.DOC</v>
      </c>
      <c r="L188" s="2" t="str">
        <f>HYPERLINK("https://docs.wto.org/imrd/directdoc.asp?DDFDocuments/v/G/TBTN16/ISR933.DOC")</f>
        <v>https://docs.wto.org/imrd/directdoc.asp?DDFDocuments/v/G/TBTN16/ISR933.DOC</v>
      </c>
      <c r="M188" s="2" t="str">
        <f>HYPERLINK("http://www.epingalert.org/#/details/G/TBT/N/ISR/933")</f>
        <v>http://www.epingalert.org/#/details/G/TBT/N/ISR/933</v>
      </c>
      <c r="N188" s="2"/>
      <c r="O188" s="2"/>
    </row>
    <row r="189" spans="1:15" ht="285" outlineLevel="1" x14ac:dyDescent="0.25">
      <c r="A189" s="2" t="s">
        <v>47</v>
      </c>
      <c r="B189" s="4" t="s">
        <v>2065</v>
      </c>
      <c r="C189" s="2" t="s">
        <v>2066</v>
      </c>
      <c r="D189" s="2" t="s">
        <v>2067</v>
      </c>
      <c r="E189" s="3">
        <v>42523</v>
      </c>
      <c r="F189" s="2" t="s">
        <v>2068</v>
      </c>
      <c r="G189" s="2" t="s">
        <v>2069</v>
      </c>
      <c r="H189" s="2" t="s">
        <v>17</v>
      </c>
      <c r="I189" s="3">
        <v>42583</v>
      </c>
      <c r="J189" s="2" t="str">
        <f>HYPERLINK("https://docs.wto.org/imrd/directdoc.asp?DDFDocuments/t/G/TBTN16/ISR928.DOC")</f>
        <v>https://docs.wto.org/imrd/directdoc.asp?DDFDocuments/t/G/TBTN16/ISR928.DOC</v>
      </c>
      <c r="K189" s="2" t="str">
        <f>HYPERLINK("https://docs.wto.org/imrd/directdoc.asp?DDFDocuments/u/G/TBTN16/ISR928.DOC")</f>
        <v>https://docs.wto.org/imrd/directdoc.asp?DDFDocuments/u/G/TBTN16/ISR928.DOC</v>
      </c>
      <c r="L189" s="2" t="str">
        <f>HYPERLINK("https://docs.wto.org/imrd/directdoc.asp?DDFDocuments/v/G/TBTN16/ISR928.DOC")</f>
        <v>https://docs.wto.org/imrd/directdoc.asp?DDFDocuments/v/G/TBTN16/ISR928.DOC</v>
      </c>
      <c r="M189" s="2" t="str">
        <f>HYPERLINK("http://www.epingalert.org/#/details/G/TBT/N/ISR/928")</f>
        <v>http://www.epingalert.org/#/details/G/TBT/N/ISR/928</v>
      </c>
      <c r="N189" s="2"/>
      <c r="O189" s="2"/>
    </row>
    <row r="190" spans="1:15" ht="60" outlineLevel="1" x14ac:dyDescent="0.25">
      <c r="A190" s="2" t="s">
        <v>42</v>
      </c>
      <c r="B190" s="4" t="s">
        <v>2060</v>
      </c>
      <c r="C190" s="2" t="s">
        <v>2061</v>
      </c>
      <c r="D190" s="2" t="s">
        <v>2062</v>
      </c>
      <c r="E190" s="3">
        <v>42523</v>
      </c>
      <c r="F190" s="2" t="s">
        <v>2063</v>
      </c>
      <c r="G190" s="2" t="s">
        <v>2064</v>
      </c>
      <c r="H190" s="2" t="s">
        <v>17</v>
      </c>
      <c r="I190" s="3">
        <v>42580</v>
      </c>
      <c r="J190" s="2" t="str">
        <f>HYPERLINK("https://docs.wto.org/imrd/directdoc.asp?DDFDocuments/t/G/TBTN16/BRA677.DOC")</f>
        <v>https://docs.wto.org/imrd/directdoc.asp?DDFDocuments/t/G/TBTN16/BRA677.DOC</v>
      </c>
      <c r="K190" s="2" t="str">
        <f>HYPERLINK("https://docs.wto.org/imrd/directdoc.asp?DDFDocuments/u/G/TBTN16/BRA677.DOC")</f>
        <v>https://docs.wto.org/imrd/directdoc.asp?DDFDocuments/u/G/TBTN16/BRA677.DOC</v>
      </c>
      <c r="L190" s="2" t="str">
        <f>HYPERLINK("https://docs.wto.org/imrd/directdoc.asp?DDFDocuments/v/G/TBTN16/BRA677.DOC")</f>
        <v>https://docs.wto.org/imrd/directdoc.asp?DDFDocuments/v/G/TBTN16/BRA677.DOC</v>
      </c>
      <c r="M190" s="2" t="str">
        <f>HYPERLINK("http://www.epingalert.org/#/details/G/TBT/N/BRA/677")</f>
        <v>http://www.epingalert.org/#/details/G/TBT/N/BRA/677</v>
      </c>
      <c r="N190" s="2"/>
      <c r="O190" s="2"/>
    </row>
    <row r="191" spans="1:15" ht="120" outlineLevel="1" x14ac:dyDescent="0.25">
      <c r="A191" s="2" t="s">
        <v>184</v>
      </c>
      <c r="B191" s="4" t="s">
        <v>1708</v>
      </c>
      <c r="C191" s="2" t="s">
        <v>1709</v>
      </c>
      <c r="D191" s="2" t="s">
        <v>1710</v>
      </c>
      <c r="E191" s="3">
        <v>42522</v>
      </c>
      <c r="F191" s="2" t="s">
        <v>1711</v>
      </c>
      <c r="G191" s="2" t="s">
        <v>1656</v>
      </c>
      <c r="H191" s="2" t="s">
        <v>198</v>
      </c>
      <c r="I191" s="3">
        <v>42582</v>
      </c>
      <c r="J191" s="2" t="str">
        <f>HYPERLINK("https://docs.wto.org/imrd/directdoc.asp?DDFDocuments/t/G/TBTN16/ARE307.DOC")</f>
        <v>https://docs.wto.org/imrd/directdoc.asp?DDFDocuments/t/G/TBTN16/ARE307.DOC</v>
      </c>
      <c r="K191" s="2" t="str">
        <f>HYPERLINK("https://docs.wto.org/imrd/directdoc.asp?DDFDocuments/u/G/TBTN16/ARE307.DOC")</f>
        <v>https://docs.wto.org/imrd/directdoc.asp?DDFDocuments/u/G/TBTN16/ARE307.DOC</v>
      </c>
      <c r="L191" s="2" t="str">
        <f>HYPERLINK("https://docs.wto.org/imrd/directdoc.asp?DDFDocuments/v/G/TBTN16/ARE307.DOC")</f>
        <v>https://docs.wto.org/imrd/directdoc.asp?DDFDocuments/v/G/TBTN16/ARE307.DOC</v>
      </c>
      <c r="M191" s="2" t="str">
        <f>HYPERLINK("http://www.epingalert.org/#/details/G/TBT/N/ARE/307")</f>
        <v>http://www.epingalert.org/#/details/G/TBT/N/ARE/307</v>
      </c>
      <c r="N191" s="2"/>
      <c r="O191" s="2"/>
    </row>
    <row r="192" spans="1:15" ht="409.5" outlineLevel="1" x14ac:dyDescent="0.25">
      <c r="A192" s="2" t="s">
        <v>47</v>
      </c>
      <c r="B192" s="4" t="s">
        <v>2070</v>
      </c>
      <c r="C192" s="2" t="s">
        <v>2071</v>
      </c>
      <c r="D192" s="2" t="s">
        <v>2072</v>
      </c>
      <c r="E192" s="3">
        <v>42522</v>
      </c>
      <c r="F192" s="2" t="s">
        <v>2073</v>
      </c>
      <c r="G192" s="2" t="s">
        <v>2074</v>
      </c>
      <c r="H192" s="2" t="s">
        <v>17</v>
      </c>
      <c r="I192" s="3">
        <v>42582</v>
      </c>
      <c r="J192" s="2" t="str">
        <f>HYPERLINK("https://docs.wto.org/imrd/directdoc.asp?DDFDocuments/t/G/TBTN16/ISR924.DOC")</f>
        <v>https://docs.wto.org/imrd/directdoc.asp?DDFDocuments/t/G/TBTN16/ISR924.DOC</v>
      </c>
      <c r="K192" s="2" t="str">
        <f>HYPERLINK("https://docs.wto.org/imrd/directdoc.asp?DDFDocuments/u/G/TBTN16/ISR924.DOC")</f>
        <v>https://docs.wto.org/imrd/directdoc.asp?DDFDocuments/u/G/TBTN16/ISR924.DOC</v>
      </c>
      <c r="L192" s="2" t="str">
        <f>HYPERLINK("https://docs.wto.org/imrd/directdoc.asp?DDFDocuments/v/G/TBTN16/ISR924.DOC")</f>
        <v>https://docs.wto.org/imrd/directdoc.asp?DDFDocuments/v/G/TBTN16/ISR924.DOC</v>
      </c>
      <c r="M192" s="2" t="str">
        <f>HYPERLINK("http://www.epingalert.org/#/details/G/TBT/N/ISR/924")</f>
        <v>http://www.epingalert.org/#/details/G/TBT/N/ISR/924</v>
      </c>
      <c r="N192" s="2"/>
      <c r="O192" s="2"/>
    </row>
    <row r="193" spans="1:15" ht="409.5" outlineLevel="1" x14ac:dyDescent="0.25">
      <c r="A193" s="2" t="s">
        <v>47</v>
      </c>
      <c r="B193" s="4" t="s">
        <v>278</v>
      </c>
      <c r="C193" s="2" t="s">
        <v>279</v>
      </c>
      <c r="D193" s="2" t="s">
        <v>280</v>
      </c>
      <c r="E193" s="3">
        <v>42515</v>
      </c>
      <c r="F193" s="2" t="s">
        <v>281</v>
      </c>
      <c r="G193" s="2" t="s">
        <v>103</v>
      </c>
      <c r="H193" s="2" t="s">
        <v>17</v>
      </c>
      <c r="I193" s="3">
        <v>42575</v>
      </c>
      <c r="J193" s="2" t="str">
        <f>HYPERLINK("https://docs.wto.org/imrd/directdoc.asp?DDFDocuments/t/G/TBTN16/ISR919.DOC")</f>
        <v>https://docs.wto.org/imrd/directdoc.asp?DDFDocuments/t/G/TBTN16/ISR919.DOC</v>
      </c>
      <c r="K193" s="2" t="str">
        <f>HYPERLINK("https://docs.wto.org/imrd/directdoc.asp?DDFDocuments/u/G/TBTN16/ISR919.DOC")</f>
        <v>https://docs.wto.org/imrd/directdoc.asp?DDFDocuments/u/G/TBTN16/ISR919.DOC</v>
      </c>
      <c r="L193" s="2" t="str">
        <f>HYPERLINK("https://docs.wto.org/imrd/directdoc.asp?DDFDocuments/v/G/TBTN16/ISR919.DOC")</f>
        <v>https://docs.wto.org/imrd/directdoc.asp?DDFDocuments/v/G/TBTN16/ISR919.DOC</v>
      </c>
      <c r="M193" s="2" t="str">
        <f>HYPERLINK("http://www.epingalert.org/#/details/G/TBT/N/ISR/919")</f>
        <v>http://www.epingalert.org/#/details/G/TBT/N/ISR/919</v>
      </c>
      <c r="N193" s="2"/>
      <c r="O193" s="2"/>
    </row>
    <row r="194" spans="1:15" ht="90" outlineLevel="1" x14ac:dyDescent="0.25">
      <c r="A194" s="2" t="s">
        <v>282</v>
      </c>
      <c r="B194" s="4" t="s">
        <v>283</v>
      </c>
      <c r="C194" s="2" t="s">
        <v>284</v>
      </c>
      <c r="D194" s="2" t="s">
        <v>285</v>
      </c>
      <c r="E194" s="3">
        <v>42514</v>
      </c>
      <c r="F194" s="2" t="s">
        <v>286</v>
      </c>
      <c r="G194" s="2"/>
      <c r="H194" s="2" t="s">
        <v>30</v>
      </c>
      <c r="I194" s="3">
        <v>42573</v>
      </c>
      <c r="J194" s="2" t="str">
        <f>HYPERLINK("https://docs.wto.org/imrd/directdoc.asp?DDFDocuments/t/G/TBTN16/RUS69.DOC")</f>
        <v>https://docs.wto.org/imrd/directdoc.asp?DDFDocuments/t/G/TBTN16/RUS69.DOC</v>
      </c>
      <c r="K194" s="2" t="str">
        <f>HYPERLINK("https://docs.wto.org/imrd/directdoc.asp?DDFDocuments/u/G/TBTN16/RUS69.DOC")</f>
        <v>https://docs.wto.org/imrd/directdoc.asp?DDFDocuments/u/G/TBTN16/RUS69.DOC</v>
      </c>
      <c r="L194" s="2" t="str">
        <f>HYPERLINK("https://docs.wto.org/imrd/directdoc.asp?DDFDocuments/v/G/TBTN16/RUS69.DOC")</f>
        <v>https://docs.wto.org/imrd/directdoc.asp?DDFDocuments/v/G/TBTN16/RUS69.DOC</v>
      </c>
      <c r="M194" s="2" t="str">
        <f>HYPERLINK("http://www.epingalert.org/#/details/G/TBT/N/RUS/69")</f>
        <v>http://www.epingalert.org/#/details/G/TBT/N/RUS/69</v>
      </c>
      <c r="N194" s="2"/>
      <c r="O194" s="2"/>
    </row>
    <row r="195" spans="1:15" ht="165" outlineLevel="1" x14ac:dyDescent="0.25">
      <c r="A195" s="2" t="s">
        <v>42</v>
      </c>
      <c r="B195" s="4" t="s">
        <v>2075</v>
      </c>
      <c r="C195" s="2" t="s">
        <v>2076</v>
      </c>
      <c r="D195" s="2" t="s">
        <v>2077</v>
      </c>
      <c r="E195" s="3">
        <v>42514</v>
      </c>
      <c r="F195" s="2" t="s">
        <v>2078</v>
      </c>
      <c r="G195" s="2" t="s">
        <v>2079</v>
      </c>
      <c r="H195" s="2" t="s">
        <v>699</v>
      </c>
      <c r="I195" s="3">
        <v>42570</v>
      </c>
      <c r="J195" s="2" t="str">
        <f>HYPERLINK("https://docs.wto.org/imrd/directdoc.asp?DDFDocuments/t/G/TBTN16/BRA675.DOC")</f>
        <v>https://docs.wto.org/imrd/directdoc.asp?DDFDocuments/t/G/TBTN16/BRA675.DOC</v>
      </c>
      <c r="K195" s="2" t="str">
        <f>HYPERLINK("https://docs.wto.org/imrd/directdoc.asp?DDFDocuments/u/G/TBTN16/BRA675.DOC")</f>
        <v>https://docs.wto.org/imrd/directdoc.asp?DDFDocuments/u/G/TBTN16/BRA675.DOC</v>
      </c>
      <c r="L195" s="2" t="str">
        <f>HYPERLINK("https://docs.wto.org/imrd/directdoc.asp?DDFDocuments/v/G/TBTN16/BRA675.DOC")</f>
        <v>https://docs.wto.org/imrd/directdoc.asp?DDFDocuments/v/G/TBTN16/BRA675.DOC</v>
      </c>
      <c r="M195" s="2" t="str">
        <f>HYPERLINK("http://www.epingalert.org/#/details/G/TBT/N/BRA/675")</f>
        <v>http://www.epingalert.org/#/details/G/TBT/N/BRA/675</v>
      </c>
      <c r="N195" s="2"/>
      <c r="O195" s="2"/>
    </row>
    <row r="196" spans="1:15" ht="409.5" outlineLevel="1" x14ac:dyDescent="0.25">
      <c r="A196" s="2" t="s">
        <v>25</v>
      </c>
      <c r="B196" s="4" t="s">
        <v>287</v>
      </c>
      <c r="C196" s="2" t="s">
        <v>288</v>
      </c>
      <c r="D196" s="2" t="s">
        <v>289</v>
      </c>
      <c r="E196" s="3">
        <v>42513</v>
      </c>
      <c r="F196" s="2" t="s">
        <v>290</v>
      </c>
      <c r="G196" s="2"/>
      <c r="H196" s="2" t="s">
        <v>17</v>
      </c>
      <c r="I196" s="3">
        <v>42573</v>
      </c>
      <c r="J196" s="2" t="str">
        <f>HYPERLINK("https://docs.wto.org/imrd/directdoc.asp?DDFDocuments/t/G/TBTN16/KOR645.DOC")</f>
        <v>https://docs.wto.org/imrd/directdoc.asp?DDFDocuments/t/G/TBTN16/KOR645.DOC</v>
      </c>
      <c r="K196" s="2" t="str">
        <f>HYPERLINK("https://docs.wto.org/imrd/directdoc.asp?DDFDocuments/u/G/TBTN16/KOR645.DOC")</f>
        <v>https://docs.wto.org/imrd/directdoc.asp?DDFDocuments/u/G/TBTN16/KOR645.DOC</v>
      </c>
      <c r="L196" s="2" t="str">
        <f>HYPERLINK("https://docs.wto.org/imrd/directdoc.asp?DDFDocuments/v/G/TBTN16/KOR645.DOC")</f>
        <v>https://docs.wto.org/imrd/directdoc.asp?DDFDocuments/v/G/TBTN16/KOR645.DOC</v>
      </c>
      <c r="M196" s="2" t="str">
        <f>HYPERLINK("http://www.epingalert.org/#/details/G/TBT/N/KOR/645")</f>
        <v>http://www.epingalert.org/#/details/G/TBT/N/KOR/645</v>
      </c>
      <c r="N196" s="2"/>
      <c r="O196" s="2"/>
    </row>
    <row r="197" spans="1:15" ht="120" outlineLevel="1" x14ac:dyDescent="0.25">
      <c r="A197" s="2" t="s">
        <v>2080</v>
      </c>
      <c r="B197" s="4" t="s">
        <v>2081</v>
      </c>
      <c r="C197" s="2"/>
      <c r="D197" s="2"/>
      <c r="E197" s="3">
        <v>42510</v>
      </c>
      <c r="F197" s="2" t="s">
        <v>2082</v>
      </c>
      <c r="G197" s="2" t="s">
        <v>2083</v>
      </c>
      <c r="H197" s="2" t="s">
        <v>24</v>
      </c>
      <c r="I197" s="3">
        <v>42570</v>
      </c>
      <c r="J197" s="2" t="str">
        <f>HYPERLINK("https://docs.wto.org/imrd/directdoc.asp?DDFDocuments/t/G/TBTN16/ESP33.DOC")</f>
        <v>https://docs.wto.org/imrd/directdoc.asp?DDFDocuments/t/G/TBTN16/ESP33.DOC</v>
      </c>
      <c r="K197" s="2" t="str">
        <f>HYPERLINK("https://docs.wto.org/imrd/directdoc.asp?DDFDocuments/u/G/TBTN16/ESP33.DOC")</f>
        <v>https://docs.wto.org/imrd/directdoc.asp?DDFDocuments/u/G/TBTN16/ESP33.DOC</v>
      </c>
      <c r="L197" s="2" t="str">
        <f>HYPERLINK("https://docs.wto.org/imrd/directdoc.asp?DDFDocuments/v/G/TBTN16/ESP33.DOC")</f>
        <v>https://docs.wto.org/imrd/directdoc.asp?DDFDocuments/v/G/TBTN16/ESP33.DOC</v>
      </c>
      <c r="M197" s="2" t="str">
        <f>HYPERLINK("http://www.epingalert.org/#/details/G/TBT/N/ESP/33")</f>
        <v>http://www.epingalert.org/#/details/G/TBT/N/ESP/33</v>
      </c>
      <c r="N197" s="2"/>
      <c r="O197" s="2"/>
    </row>
    <row r="198" spans="1:15" ht="210" outlineLevel="1" x14ac:dyDescent="0.25">
      <c r="A198" s="2" t="s">
        <v>18</v>
      </c>
      <c r="B198" s="4" t="s">
        <v>291</v>
      </c>
      <c r="C198" s="2" t="s">
        <v>292</v>
      </c>
      <c r="D198" s="2" t="s">
        <v>293</v>
      </c>
      <c r="E198" s="3">
        <v>42502</v>
      </c>
      <c r="F198" s="2" t="s">
        <v>294</v>
      </c>
      <c r="G198" s="2" t="s">
        <v>295</v>
      </c>
      <c r="H198" s="2" t="s">
        <v>24</v>
      </c>
      <c r="I198" s="3">
        <v>42521</v>
      </c>
      <c r="J198" s="2" t="str">
        <f>HYPERLINK("https://docs.wto.org/imrd/directdoc.asp?DDFDocuments/t/G/TBTN16/USA1128.DOC")</f>
        <v>https://docs.wto.org/imrd/directdoc.asp?DDFDocuments/t/G/TBTN16/USA1128.DOC</v>
      </c>
      <c r="K198" s="2" t="str">
        <f>HYPERLINK("https://docs.wto.org/imrd/directdoc.asp?DDFDocuments/u/G/TBTN16/USA1128.DOC")</f>
        <v>https://docs.wto.org/imrd/directdoc.asp?DDFDocuments/u/G/TBTN16/USA1128.DOC</v>
      </c>
      <c r="L198" s="2" t="str">
        <f>HYPERLINK("https://docs.wto.org/imrd/directdoc.asp?DDFDocuments/v/G/TBTN16/USA1128.DOC")</f>
        <v>https://docs.wto.org/imrd/directdoc.asp?DDFDocuments/v/G/TBTN16/USA1128.DOC</v>
      </c>
      <c r="M198" s="2" t="str">
        <f>HYPERLINK("http://www.epingalert.org/#/details/G/TBT/N/USA/1128")</f>
        <v>http://www.epingalert.org/#/details/G/TBT/N/USA/1128</v>
      </c>
      <c r="N198" s="2"/>
      <c r="O198" s="2"/>
    </row>
    <row r="199" spans="1:15" ht="409.5" outlineLevel="1" x14ac:dyDescent="0.25">
      <c r="A199" s="2" t="s">
        <v>1619</v>
      </c>
      <c r="B199" s="4" t="s">
        <v>1712</v>
      </c>
      <c r="C199" s="2" t="s">
        <v>1713</v>
      </c>
      <c r="D199" s="2" t="s">
        <v>1714</v>
      </c>
      <c r="E199" s="3">
        <v>42499</v>
      </c>
      <c r="F199" s="2" t="s">
        <v>1715</v>
      </c>
      <c r="G199" s="2"/>
      <c r="H199" s="2" t="s">
        <v>1716</v>
      </c>
      <c r="I199" s="3">
        <v>42559</v>
      </c>
      <c r="J199" s="2" t="str">
        <f>HYPERLINK("https://docs.wto.org/imrd/directdoc.asp?DDFDocuments/t/G/TBTN16/LTU28.DOC")</f>
        <v>https://docs.wto.org/imrd/directdoc.asp?DDFDocuments/t/G/TBTN16/LTU28.DOC</v>
      </c>
      <c r="K199" s="2" t="str">
        <f>HYPERLINK("https://docs.wto.org/imrd/directdoc.asp?DDFDocuments/u/G/TBTN16/LTU28.DOC")</f>
        <v>https://docs.wto.org/imrd/directdoc.asp?DDFDocuments/u/G/TBTN16/LTU28.DOC</v>
      </c>
      <c r="L199" s="2" t="str">
        <f>HYPERLINK("https://docs.wto.org/imrd/directdoc.asp?DDFDocuments/v/G/TBTN16/LTU28.DOC")</f>
        <v>https://docs.wto.org/imrd/directdoc.asp?DDFDocuments/v/G/TBTN16/LTU28.DOC</v>
      </c>
      <c r="M199" s="2" t="str">
        <f>HYPERLINK("http://www.epingalert.org/#/details/G/TBT/N/LTU/28")</f>
        <v>http://www.epingalert.org/#/details/G/TBT/N/LTU/28</v>
      </c>
      <c r="N199" s="2"/>
      <c r="O199" s="2"/>
    </row>
    <row r="200" spans="1:15" ht="240" outlineLevel="1" x14ac:dyDescent="0.25">
      <c r="A200" s="2" t="s">
        <v>25</v>
      </c>
      <c r="B200" s="4" t="s">
        <v>296</v>
      </c>
      <c r="C200" s="2" t="s">
        <v>297</v>
      </c>
      <c r="D200" s="2" t="s">
        <v>298</v>
      </c>
      <c r="E200" s="3">
        <v>42494</v>
      </c>
      <c r="F200" s="2" t="s">
        <v>299</v>
      </c>
      <c r="G200" s="2"/>
      <c r="H200" s="2" t="s">
        <v>30</v>
      </c>
      <c r="I200" s="3">
        <v>42554</v>
      </c>
      <c r="J200" s="2" t="str">
        <f>HYPERLINK("https://docs.wto.org/imrd/directdoc.asp?DDFDocuments/t/G/TBTN16/KOR644.DOC")</f>
        <v>https://docs.wto.org/imrd/directdoc.asp?DDFDocuments/t/G/TBTN16/KOR644.DOC</v>
      </c>
      <c r="K200" s="2" t="str">
        <f>HYPERLINK("https://docs.wto.org/imrd/directdoc.asp?DDFDocuments/u/G/TBTN16/KOR644.DOC")</f>
        <v>https://docs.wto.org/imrd/directdoc.asp?DDFDocuments/u/G/TBTN16/KOR644.DOC</v>
      </c>
      <c r="L200" s="2" t="str">
        <f>HYPERLINK("https://docs.wto.org/imrd/directdoc.asp?DDFDocuments/v/G/TBTN16/KOR644.DOC")</f>
        <v>https://docs.wto.org/imrd/directdoc.asp?DDFDocuments/v/G/TBTN16/KOR644.DOC</v>
      </c>
      <c r="M200" s="2" t="str">
        <f>HYPERLINK("http://www.epingalert.org/#/details/G/TBT/N/KOR/644")</f>
        <v>http://www.epingalert.org/#/details/G/TBT/N/KOR/644</v>
      </c>
      <c r="N200" s="2"/>
      <c r="O200" s="2"/>
    </row>
    <row r="201" spans="1:15" ht="60" outlineLevel="1" x14ac:dyDescent="0.25">
      <c r="A201" s="2" t="s">
        <v>1488</v>
      </c>
      <c r="B201" s="4" t="s">
        <v>2084</v>
      </c>
      <c r="C201" s="2"/>
      <c r="D201" s="2"/>
      <c r="E201" s="3">
        <v>42489</v>
      </c>
      <c r="F201" s="2" t="s">
        <v>2085</v>
      </c>
      <c r="G201" s="2" t="s">
        <v>2086</v>
      </c>
      <c r="H201" s="2" t="s">
        <v>17</v>
      </c>
      <c r="I201" s="3">
        <v>42549</v>
      </c>
      <c r="J201" s="2" t="str">
        <f>HYPERLINK("https://docs.wto.org/imrd/directdoc.asp?DDFDocuments/t/G/TBTN16/MEX307.DOC")</f>
        <v>https://docs.wto.org/imrd/directdoc.asp?DDFDocuments/t/G/TBTN16/MEX307.DOC</v>
      </c>
      <c r="K201" s="2" t="str">
        <f>HYPERLINK("https://docs.wto.org/imrd/directdoc.asp?DDFDocuments/u/G/TBTN16/MEX307.DOC")</f>
        <v>https://docs.wto.org/imrd/directdoc.asp?DDFDocuments/u/G/TBTN16/MEX307.DOC</v>
      </c>
      <c r="L201" s="2" t="str">
        <f>HYPERLINK("https://docs.wto.org/imrd/directdoc.asp?DDFDocuments/v/G/TBTN16/MEX307.DOC")</f>
        <v>https://docs.wto.org/imrd/directdoc.asp?DDFDocuments/v/G/TBTN16/MEX307.DOC</v>
      </c>
      <c r="M201" s="2" t="str">
        <f>HYPERLINK("http://www.epingalert.org/#/details/G/TBT/N/MEX/307")</f>
        <v>http://www.epingalert.org/#/details/G/TBT/N/MEX/307</v>
      </c>
      <c r="N201" s="2"/>
      <c r="O201" s="2"/>
    </row>
    <row r="202" spans="1:15" ht="270" outlineLevel="1" x14ac:dyDescent="0.25">
      <c r="A202" s="2" t="s">
        <v>77</v>
      </c>
      <c r="B202" s="4" t="s">
        <v>2087</v>
      </c>
      <c r="C202" s="2" t="s">
        <v>2088</v>
      </c>
      <c r="D202" s="2" t="s">
        <v>2089</v>
      </c>
      <c r="E202" s="3">
        <v>42489</v>
      </c>
      <c r="F202" s="2" t="s">
        <v>2090</v>
      </c>
      <c r="G202" s="2" t="s">
        <v>2091</v>
      </c>
      <c r="H202" s="2" t="s">
        <v>24</v>
      </c>
      <c r="I202" s="3">
        <v>42549</v>
      </c>
      <c r="J202" s="2" t="str">
        <f>HYPERLINK("https://docs.wto.org/imrd/directdoc.asp?DDFDocuments/t/G/TBTN16/TPKM236.DOC")</f>
        <v>https://docs.wto.org/imrd/directdoc.asp?DDFDocuments/t/G/TBTN16/TPKM236.DOC</v>
      </c>
      <c r="K202" s="2" t="str">
        <f>HYPERLINK("https://docs.wto.org/imrd/directdoc.asp?DDFDocuments/u/G/TBTN16/TPKM236.DOC")</f>
        <v>https://docs.wto.org/imrd/directdoc.asp?DDFDocuments/u/G/TBTN16/TPKM236.DOC</v>
      </c>
      <c r="L202" s="2" t="str">
        <f>HYPERLINK("https://docs.wto.org/imrd/directdoc.asp?DDFDocuments/v/G/TBTN16/TPKM236.DOC")</f>
        <v>https://docs.wto.org/imrd/directdoc.asp?DDFDocuments/v/G/TBTN16/TPKM236.DOC</v>
      </c>
      <c r="M202" s="2" t="str">
        <f>HYPERLINK("http://www.epingalert.org/#/details/G/TBT/N/TPKM/236")</f>
        <v>http://www.epingalert.org/#/details/G/TBT/N/TPKM/236</v>
      </c>
      <c r="N202" s="2"/>
      <c r="O202" s="2"/>
    </row>
    <row r="203" spans="1:15" ht="120" outlineLevel="1" x14ac:dyDescent="0.25">
      <c r="A203" s="2" t="s">
        <v>12</v>
      </c>
      <c r="B203" s="4" t="s">
        <v>300</v>
      </c>
      <c r="C203" s="2" t="s">
        <v>301</v>
      </c>
      <c r="D203" s="2" t="s">
        <v>302</v>
      </c>
      <c r="E203" s="3">
        <v>42488</v>
      </c>
      <c r="F203" s="2" t="s">
        <v>86</v>
      </c>
      <c r="G203" s="2"/>
      <c r="H203" s="2" t="s">
        <v>17</v>
      </c>
      <c r="I203" s="3">
        <v>42548</v>
      </c>
      <c r="J203" s="2" t="str">
        <f>HYPERLINK("https://docs.wto.org/imrd/directdoc.asp?DDFDocuments/t/G/TBTN16/EU374.DOC")</f>
        <v>https://docs.wto.org/imrd/directdoc.asp?DDFDocuments/t/G/TBTN16/EU374.DOC</v>
      </c>
      <c r="K203" s="2" t="str">
        <f>HYPERLINK("https://docs.wto.org/imrd/directdoc.asp?DDFDocuments/u/G/TBTN16/EU374.DOC")</f>
        <v>https://docs.wto.org/imrd/directdoc.asp?DDFDocuments/u/G/TBTN16/EU374.DOC</v>
      </c>
      <c r="L203" s="2" t="str">
        <f>HYPERLINK("https://docs.wto.org/imrd/directdoc.asp?DDFDocuments/v/G/TBTN16/EU374.DOC")</f>
        <v>https://docs.wto.org/imrd/directdoc.asp?DDFDocuments/v/G/TBTN16/EU374.DOC</v>
      </c>
      <c r="M203" s="2" t="str">
        <f>HYPERLINK("http://www.epingalert.org/#/details/G/TBT/N/EU/374")</f>
        <v>http://www.epingalert.org/#/details/G/TBT/N/EU/374</v>
      </c>
      <c r="N203" s="2"/>
      <c r="O203" s="2"/>
    </row>
    <row r="204" spans="1:15" ht="60" outlineLevel="1" x14ac:dyDescent="0.25">
      <c r="A204" s="2" t="s">
        <v>18</v>
      </c>
      <c r="B204" s="4" t="s">
        <v>303</v>
      </c>
      <c r="C204" s="2" t="s">
        <v>304</v>
      </c>
      <c r="D204" s="2" t="s">
        <v>305</v>
      </c>
      <c r="E204" s="3">
        <v>42488</v>
      </c>
      <c r="F204" s="2" t="s">
        <v>306</v>
      </c>
      <c r="G204" s="2" t="s">
        <v>307</v>
      </c>
      <c r="H204" s="2" t="s">
        <v>24</v>
      </c>
      <c r="I204" s="3">
        <v>42473</v>
      </c>
      <c r="J204" s="2" t="str">
        <f>HYPERLINK("https://docs.wto.org/imrd/directdoc.asp?DDFDocuments/t/G/TBTN16/USA1116.DOC")</f>
        <v>https://docs.wto.org/imrd/directdoc.asp?DDFDocuments/t/G/TBTN16/USA1116.DOC</v>
      </c>
      <c r="K204" s="2" t="str">
        <f>HYPERLINK("https://docs.wto.org/imrd/directdoc.asp?DDFDocuments/u/G/TBTN16/USA1116.DOC")</f>
        <v>https://docs.wto.org/imrd/directdoc.asp?DDFDocuments/u/G/TBTN16/USA1116.DOC</v>
      </c>
      <c r="L204" s="2" t="str">
        <f>HYPERLINK("https://docs.wto.org/imrd/directdoc.asp?DDFDocuments/v/G/TBTN16/USA1116.DOC")</f>
        <v>https://docs.wto.org/imrd/directdoc.asp?DDFDocuments/v/G/TBTN16/USA1116.DOC</v>
      </c>
      <c r="M204" s="2" t="str">
        <f>HYPERLINK("http://www.epingalert.org/#/details/G/TBT/N/USA/1116")</f>
        <v>http://www.epingalert.org/#/details/G/TBT/N/USA/1116</v>
      </c>
      <c r="N204" s="2"/>
      <c r="O204" s="2"/>
    </row>
    <row r="205" spans="1:15" ht="409.5" outlineLevel="1" x14ac:dyDescent="0.25">
      <c r="A205" s="2" t="s">
        <v>25</v>
      </c>
      <c r="B205" s="4" t="s">
        <v>308</v>
      </c>
      <c r="C205" s="2" t="s">
        <v>309</v>
      </c>
      <c r="D205" s="2" t="s">
        <v>310</v>
      </c>
      <c r="E205" s="3">
        <v>42485</v>
      </c>
      <c r="F205" s="2" t="s">
        <v>311</v>
      </c>
      <c r="G205" s="2"/>
      <c r="H205" s="2" t="s">
        <v>82</v>
      </c>
      <c r="I205" s="3">
        <v>42545</v>
      </c>
      <c r="J205" s="2" t="str">
        <f>HYPERLINK("https://docs.wto.org/imrd/directdoc.asp?DDFDocuments/t/G/TBTN16/KOR641.DOC")</f>
        <v>https://docs.wto.org/imrd/directdoc.asp?DDFDocuments/t/G/TBTN16/KOR641.DOC</v>
      </c>
      <c r="K205" s="2" t="str">
        <f>HYPERLINK("https://docs.wto.org/imrd/directdoc.asp?DDFDocuments/u/G/TBTN16/KOR641.DOC")</f>
        <v>https://docs.wto.org/imrd/directdoc.asp?DDFDocuments/u/G/TBTN16/KOR641.DOC</v>
      </c>
      <c r="L205" s="2" t="str">
        <f>HYPERLINK("https://docs.wto.org/imrd/directdoc.asp?DDFDocuments/v/G/TBTN16/KOR641.DOC")</f>
        <v>https://docs.wto.org/imrd/directdoc.asp?DDFDocuments/v/G/TBTN16/KOR641.DOC</v>
      </c>
      <c r="M205" s="2" t="str">
        <f>HYPERLINK("http://www.epingalert.org/#/details/G/TBT/N/KOR/641")</f>
        <v>http://www.epingalert.org/#/details/G/TBT/N/KOR/641</v>
      </c>
      <c r="N205" s="2"/>
      <c r="O205" s="2"/>
    </row>
    <row r="206" spans="1:15" ht="409.5" outlineLevel="1" x14ac:dyDescent="0.25">
      <c r="A206" s="2" t="s">
        <v>154</v>
      </c>
      <c r="B206" s="4" t="s">
        <v>2092</v>
      </c>
      <c r="C206" s="2" t="s">
        <v>2093</v>
      </c>
      <c r="D206" s="2" t="s">
        <v>2094</v>
      </c>
      <c r="E206" s="3">
        <v>42480</v>
      </c>
      <c r="F206" s="2" t="s">
        <v>2095</v>
      </c>
      <c r="G206" s="2" t="s">
        <v>2096</v>
      </c>
      <c r="H206" s="2" t="s">
        <v>127</v>
      </c>
      <c r="I206" s="3">
        <v>42540</v>
      </c>
      <c r="J206" s="2" t="str">
        <f>HYPERLINK("https://docs.wto.org/imrd/directdoc.asp?DDFDocuments/t/G/TBTN16/IDN105.DOC")</f>
        <v>https://docs.wto.org/imrd/directdoc.asp?DDFDocuments/t/G/TBTN16/IDN105.DOC</v>
      </c>
      <c r="K206" s="2" t="str">
        <f>HYPERLINK("https://docs.wto.org/imrd/directdoc.asp?DDFDocuments/u/G/TBTN16/IDN105.DOC")</f>
        <v>https://docs.wto.org/imrd/directdoc.asp?DDFDocuments/u/G/TBTN16/IDN105.DOC</v>
      </c>
      <c r="L206" s="2" t="str">
        <f>HYPERLINK("https://docs.wto.org/imrd/directdoc.asp?DDFDocuments/v/G/TBTN16/IDN105.DOC")</f>
        <v>https://docs.wto.org/imrd/directdoc.asp?DDFDocuments/v/G/TBTN16/IDN105.DOC</v>
      </c>
      <c r="M206" s="2" t="str">
        <f>HYPERLINK("http://www.epingalert.org/#/details/G/TBT/N/IDN/105")</f>
        <v>http://www.epingalert.org/#/details/G/TBT/N/IDN/105</v>
      </c>
      <c r="N206" s="2"/>
      <c r="O206" s="2"/>
    </row>
    <row r="207" spans="1:15" ht="409.5" outlineLevel="1" x14ac:dyDescent="0.25">
      <c r="A207" s="2" t="s">
        <v>211</v>
      </c>
      <c r="B207" s="4" t="s">
        <v>2097</v>
      </c>
      <c r="C207" s="2" t="s">
        <v>2098</v>
      </c>
      <c r="D207" s="2" t="s">
        <v>2099</v>
      </c>
      <c r="E207" s="3">
        <v>42480</v>
      </c>
      <c r="F207" s="2" t="s">
        <v>2100</v>
      </c>
      <c r="G207" s="2" t="s">
        <v>216</v>
      </c>
      <c r="H207" s="2" t="s">
        <v>2101</v>
      </c>
      <c r="I207" s="3">
        <v>42522</v>
      </c>
      <c r="J207" s="2" t="str">
        <f>HYPERLINK("https://docs.wto.org/imrd/directdoc.asp?DDFDocuments/t/G/TBTN16/NZL74.DOC")</f>
        <v>https://docs.wto.org/imrd/directdoc.asp?DDFDocuments/t/G/TBTN16/NZL74.DOC</v>
      </c>
      <c r="K207" s="2" t="str">
        <f>HYPERLINK("https://docs.wto.org/imrd/directdoc.asp?DDFDocuments/u/G/TBTN16/NZL74.DOC")</f>
        <v>https://docs.wto.org/imrd/directdoc.asp?DDFDocuments/u/G/TBTN16/NZL74.DOC</v>
      </c>
      <c r="L207" s="2" t="str">
        <f>HYPERLINK("https://docs.wto.org/imrd/directdoc.asp?DDFDocuments/v/G/TBTN16/NZL74.DOC")</f>
        <v>https://docs.wto.org/imrd/directdoc.asp?DDFDocuments/v/G/TBTN16/NZL74.DOC</v>
      </c>
      <c r="M207" s="2" t="str">
        <f>HYPERLINK("http://www.epingalert.org/#/details/G/TBT/N/NZL/74")</f>
        <v>http://www.epingalert.org/#/details/G/TBT/N/NZL/74</v>
      </c>
      <c r="N207" s="2"/>
      <c r="O207" s="2"/>
    </row>
    <row r="208" spans="1:15" ht="409.5" outlineLevel="1" x14ac:dyDescent="0.25">
      <c r="A208" s="2" t="s">
        <v>312</v>
      </c>
      <c r="B208" s="4" t="s">
        <v>313</v>
      </c>
      <c r="C208" s="2" t="s">
        <v>314</v>
      </c>
      <c r="D208" s="2" t="s">
        <v>315</v>
      </c>
      <c r="E208" s="3">
        <v>42479</v>
      </c>
      <c r="F208" s="2" t="s">
        <v>316</v>
      </c>
      <c r="G208" s="2"/>
      <c r="H208" s="2" t="s">
        <v>317</v>
      </c>
      <c r="I208" s="3">
        <v>42539</v>
      </c>
      <c r="J208" s="2" t="str">
        <f>HYPERLINK("https://docs.wto.org/imrd/directdoc.asp?DDFDocuments/t/G/TBTN16/UGA538.DOC")</f>
        <v>https://docs.wto.org/imrd/directdoc.asp?DDFDocuments/t/G/TBTN16/UGA538.DOC</v>
      </c>
      <c r="K208" s="2" t="str">
        <f>HYPERLINK("https://docs.wto.org/imrd/directdoc.asp?DDFDocuments/u/G/TBTN16/UGA538.DOC")</f>
        <v>https://docs.wto.org/imrd/directdoc.asp?DDFDocuments/u/G/TBTN16/UGA538.DOC</v>
      </c>
      <c r="L208" s="2" t="str">
        <f>HYPERLINK("https://docs.wto.org/imrd/directdoc.asp?DDFDocuments/v/G/TBTN16/UGA538.DOC")</f>
        <v>https://docs.wto.org/imrd/directdoc.asp?DDFDocuments/v/G/TBTN16/UGA538.DOC</v>
      </c>
      <c r="M208" s="2" t="str">
        <f>HYPERLINK("http://www.epingalert.org/#/details/G/TBT/N/UGA/538")</f>
        <v>http://www.epingalert.org/#/details/G/TBT/N/UGA/538</v>
      </c>
      <c r="N208" s="2"/>
      <c r="O208" s="2"/>
    </row>
    <row r="209" spans="1:15" ht="300" outlineLevel="1" x14ac:dyDescent="0.25">
      <c r="A209" s="2" t="s">
        <v>25</v>
      </c>
      <c r="B209" s="4" t="s">
        <v>318</v>
      </c>
      <c r="C209" s="2" t="s">
        <v>319</v>
      </c>
      <c r="D209" s="2" t="s">
        <v>320</v>
      </c>
      <c r="E209" s="3">
        <v>42466</v>
      </c>
      <c r="F209" s="2" t="s">
        <v>29</v>
      </c>
      <c r="G209" s="2"/>
      <c r="H209" s="2" t="s">
        <v>58</v>
      </c>
      <c r="I209" s="3">
        <v>42526</v>
      </c>
      <c r="J209" s="2" t="str">
        <f>HYPERLINK("https://docs.wto.org/imrd/directdoc.asp?DDFDocuments/t/G/TBTN16/KOR636.DOC")</f>
        <v>https://docs.wto.org/imrd/directdoc.asp?DDFDocuments/t/G/TBTN16/KOR636.DOC</v>
      </c>
      <c r="K209" s="2" t="str">
        <f>HYPERLINK("https://docs.wto.org/imrd/directdoc.asp?DDFDocuments/u/G/TBTN16/KOR636.DOC")</f>
        <v>https://docs.wto.org/imrd/directdoc.asp?DDFDocuments/u/G/TBTN16/KOR636.DOC</v>
      </c>
      <c r="L209" s="2" t="str">
        <f>HYPERLINK("https://docs.wto.org/imrd/directdoc.asp?DDFDocuments/v/G/TBTN16/KOR636.DOC")</f>
        <v>https://docs.wto.org/imrd/directdoc.asp?DDFDocuments/v/G/TBTN16/KOR636.DOC</v>
      </c>
      <c r="M209" s="2" t="str">
        <f>HYPERLINK("http://www.epingalert.org/#/details/G/TBT/N/KOR/636")</f>
        <v>http://www.epingalert.org/#/details/G/TBT/N/KOR/636</v>
      </c>
      <c r="N209" s="2"/>
      <c r="O209" s="2"/>
    </row>
    <row r="210" spans="1:15" ht="60" outlineLevel="1" x14ac:dyDescent="0.25">
      <c r="A210" s="2" t="s">
        <v>1488</v>
      </c>
      <c r="B210" s="4" t="s">
        <v>2102</v>
      </c>
      <c r="C210" s="2"/>
      <c r="D210" s="2"/>
      <c r="E210" s="3">
        <v>42466</v>
      </c>
      <c r="F210" s="2" t="s">
        <v>2103</v>
      </c>
      <c r="G210" s="2" t="s">
        <v>2104</v>
      </c>
      <c r="H210" s="2"/>
      <c r="I210" s="3">
        <v>42489</v>
      </c>
      <c r="J210" s="2" t="str">
        <f>HYPERLINK("https://docs.wto.org/imrd/directdoc.asp?DDFDocuments/t/G/TBTN16/MEX302.DOC")</f>
        <v>https://docs.wto.org/imrd/directdoc.asp?DDFDocuments/t/G/TBTN16/MEX302.DOC</v>
      </c>
      <c r="K210" s="2" t="str">
        <f>HYPERLINK("https://docs.wto.org/imrd/directdoc.asp?DDFDocuments/u/G/TBTN16/MEX302.DOC")</f>
        <v>https://docs.wto.org/imrd/directdoc.asp?DDFDocuments/u/G/TBTN16/MEX302.DOC</v>
      </c>
      <c r="L210" s="2" t="str">
        <f>HYPERLINK("https://docs.wto.org/imrd/directdoc.asp?DDFDocuments/v/G/TBTN16/MEX302.DOC")</f>
        <v>https://docs.wto.org/imrd/directdoc.asp?DDFDocuments/v/G/TBTN16/MEX302.DOC</v>
      </c>
      <c r="M210" s="2" t="str">
        <f>HYPERLINK("http://www.epingalert.org/#/details/G/TBT/N/MEX/302")</f>
        <v>http://www.epingalert.org/#/details/G/TBT/N/MEX/302</v>
      </c>
      <c r="N210" s="2"/>
      <c r="O210" s="2"/>
    </row>
    <row r="211" spans="1:15" ht="60" outlineLevel="1" x14ac:dyDescent="0.25">
      <c r="A211" s="2" t="s">
        <v>1488</v>
      </c>
      <c r="B211" s="4" t="s">
        <v>1717</v>
      </c>
      <c r="C211" s="2"/>
      <c r="D211" s="2"/>
      <c r="E211" s="3">
        <v>42465</v>
      </c>
      <c r="F211" s="2" t="s">
        <v>1718</v>
      </c>
      <c r="G211" s="2" t="s">
        <v>1719</v>
      </c>
      <c r="H211" s="2" t="s">
        <v>17</v>
      </c>
      <c r="I211" s="3">
        <v>42494</v>
      </c>
      <c r="J211" s="2" t="str">
        <f>HYPERLINK("https://docs.wto.org/imrd/directdoc.asp?DDFDocuments/t/G/TBTN16/MEX301.DOC")</f>
        <v>https://docs.wto.org/imrd/directdoc.asp?DDFDocuments/t/G/TBTN16/MEX301.DOC</v>
      </c>
      <c r="K211" s="2" t="str">
        <f>HYPERLINK("https://docs.wto.org/imrd/directdoc.asp?DDFDocuments/u/G/TBTN16/MEX301.DOC")</f>
        <v>https://docs.wto.org/imrd/directdoc.asp?DDFDocuments/u/G/TBTN16/MEX301.DOC</v>
      </c>
      <c r="L211" s="2" t="str">
        <f>HYPERLINK("https://docs.wto.org/imrd/directdoc.asp?DDFDocuments/v/G/TBTN16/MEX301.DOC")</f>
        <v>https://docs.wto.org/imrd/directdoc.asp?DDFDocuments/v/G/TBTN16/MEX301.DOC</v>
      </c>
      <c r="M211" s="2" t="str">
        <f>HYPERLINK("http://www.epingalert.org/#/details/G/TBT/N/MEX/301")</f>
        <v>http://www.epingalert.org/#/details/G/TBT/N/MEX/301</v>
      </c>
      <c r="N211" s="2"/>
      <c r="O211" s="2"/>
    </row>
    <row r="212" spans="1:15" ht="300" outlineLevel="1" x14ac:dyDescent="0.25">
      <c r="A212" s="2" t="s">
        <v>321</v>
      </c>
      <c r="B212" s="4" t="s">
        <v>322</v>
      </c>
      <c r="C212" s="2" t="s">
        <v>323</v>
      </c>
      <c r="D212" s="2" t="s">
        <v>324</v>
      </c>
      <c r="E212" s="3">
        <v>42464</v>
      </c>
      <c r="F212" s="2" t="s">
        <v>325</v>
      </c>
      <c r="G212" s="2"/>
      <c r="H212" s="2" t="s">
        <v>326</v>
      </c>
      <c r="I212" s="3">
        <v>42521</v>
      </c>
      <c r="J212" s="2" t="str">
        <f>HYPERLINK("https://docs.wto.org/imrd/directdoc.asp?DDFDocuments/t/G/TBTN16/ZWE1.DOC")</f>
        <v>https://docs.wto.org/imrd/directdoc.asp?DDFDocuments/t/G/TBTN16/ZWE1.DOC</v>
      </c>
      <c r="K212" s="2" t="str">
        <f>HYPERLINK("https://docs.wto.org/imrd/directdoc.asp?DDFDocuments/u/G/TBTN16/ZWE1.DOC")</f>
        <v>https://docs.wto.org/imrd/directdoc.asp?DDFDocuments/u/G/TBTN16/ZWE1.DOC</v>
      </c>
      <c r="L212" s="2" t="str">
        <f>HYPERLINK("https://docs.wto.org/imrd/directdoc.asp?DDFDocuments/v/G/TBTN16/ZWE1.DOC")</f>
        <v>https://docs.wto.org/imrd/directdoc.asp?DDFDocuments/v/G/TBTN16/ZWE1.DOC</v>
      </c>
      <c r="M212" s="2" t="str">
        <f>HYPERLINK("http://www.epingalert.org/#/details/G/TBT/N/ZWE/1")</f>
        <v>http://www.epingalert.org/#/details/G/TBT/N/ZWE/1</v>
      </c>
      <c r="N212" s="2"/>
      <c r="O212" s="2"/>
    </row>
    <row r="213" spans="1:15" ht="105" outlineLevel="1" x14ac:dyDescent="0.25">
      <c r="A213" s="2" t="s">
        <v>77</v>
      </c>
      <c r="B213" s="4" t="s">
        <v>327</v>
      </c>
      <c r="C213" s="2" t="s">
        <v>328</v>
      </c>
      <c r="D213" s="2" t="s">
        <v>329</v>
      </c>
      <c r="E213" s="3">
        <v>42461</v>
      </c>
      <c r="F213" s="2" t="s">
        <v>330</v>
      </c>
      <c r="G213" s="2"/>
      <c r="H213" s="2" t="s">
        <v>82</v>
      </c>
      <c r="I213" s="3">
        <v>42521</v>
      </c>
      <c r="J213" s="2" t="str">
        <f>HYPERLINK("https://docs.wto.org/imrd/directdoc.asp?DDFDocuments/t/G/TBTN16/TPKM231.DOC")</f>
        <v>https://docs.wto.org/imrd/directdoc.asp?DDFDocuments/t/G/TBTN16/TPKM231.DOC</v>
      </c>
      <c r="K213" s="2" t="str">
        <f>HYPERLINK("https://docs.wto.org/imrd/directdoc.asp?DDFDocuments/u/G/TBTN16/TPKM231.DOC")</f>
        <v>https://docs.wto.org/imrd/directdoc.asp?DDFDocuments/u/G/TBTN16/TPKM231.DOC</v>
      </c>
      <c r="L213" s="2" t="str">
        <f>HYPERLINK("https://docs.wto.org/imrd/directdoc.asp?DDFDocuments/v/G/TBTN16/TPKM231.DOC")</f>
        <v>https://docs.wto.org/imrd/directdoc.asp?DDFDocuments/v/G/TBTN16/TPKM231.DOC</v>
      </c>
      <c r="M213" s="2" t="str">
        <f>HYPERLINK("http://www.epingalert.org/#/details/G/TBT/N/TPKM/231")</f>
        <v>http://www.epingalert.org/#/details/G/TBT/N/TPKM/231</v>
      </c>
      <c r="N213" s="2"/>
      <c r="O213" s="2"/>
    </row>
    <row r="214" spans="1:15" ht="75" outlineLevel="1" x14ac:dyDescent="0.25">
      <c r="A214" s="2" t="s">
        <v>98</v>
      </c>
      <c r="B214" s="4" t="s">
        <v>331</v>
      </c>
      <c r="C214" s="2" t="s">
        <v>332</v>
      </c>
      <c r="D214" s="2" t="s">
        <v>333</v>
      </c>
      <c r="E214" s="3">
        <v>42461</v>
      </c>
      <c r="F214" s="2"/>
      <c r="G214" s="2" t="s">
        <v>334</v>
      </c>
      <c r="H214" s="2" t="s">
        <v>17</v>
      </c>
      <c r="I214" s="3">
        <v>42521</v>
      </c>
      <c r="J214" s="2" t="str">
        <f>HYPERLINK("https://docs.wto.org/imrd/directdoc.asp?DDFDocuments/t/G/TBTN16/ZAF204.DOC")</f>
        <v>https://docs.wto.org/imrd/directdoc.asp?DDFDocuments/t/G/TBTN16/ZAF204.DOC</v>
      </c>
      <c r="K214" s="2" t="str">
        <f>HYPERLINK("https://docs.wto.org/imrd/directdoc.asp?DDFDocuments/u/G/TBTN16/ZAF204.DOC")</f>
        <v>https://docs.wto.org/imrd/directdoc.asp?DDFDocuments/u/G/TBTN16/ZAF204.DOC</v>
      </c>
      <c r="L214" s="2" t="str">
        <f>HYPERLINK("https://docs.wto.org/imrd/directdoc.asp?DDFDocuments/v/G/TBTN16/ZAF204.DOC")</f>
        <v>https://docs.wto.org/imrd/directdoc.asp?DDFDocuments/v/G/TBTN16/ZAF204.DOC</v>
      </c>
      <c r="M214" s="2" t="str">
        <f>HYPERLINK("http://www.epingalert.org/#/details/G/TBT/N/ZAF/204")</f>
        <v>http://www.epingalert.org/#/details/G/TBT/N/ZAF/204</v>
      </c>
      <c r="N214" s="2"/>
      <c r="O214" s="2"/>
    </row>
    <row r="215" spans="1:15" ht="255" outlineLevel="1" x14ac:dyDescent="0.25">
      <c r="A215" s="2" t="s">
        <v>47</v>
      </c>
      <c r="B215" s="4" t="s">
        <v>2105</v>
      </c>
      <c r="C215" s="2" t="s">
        <v>2106</v>
      </c>
      <c r="D215" s="2" t="s">
        <v>2107</v>
      </c>
      <c r="E215" s="3">
        <v>42461</v>
      </c>
      <c r="F215" s="2" t="s">
        <v>2108</v>
      </c>
      <c r="G215" s="2" t="s">
        <v>2109</v>
      </c>
      <c r="H215" s="2" t="s">
        <v>17</v>
      </c>
      <c r="I215" s="3">
        <v>42521</v>
      </c>
      <c r="J215" s="2" t="str">
        <f>HYPERLINK("https://docs.wto.org/imrd/directdoc.asp?DDFDocuments/t/G/TBTN16/ISR904.DOC")</f>
        <v>https://docs.wto.org/imrd/directdoc.asp?DDFDocuments/t/G/TBTN16/ISR904.DOC</v>
      </c>
      <c r="K215" s="2" t="str">
        <f>HYPERLINK("https://docs.wto.org/imrd/directdoc.asp?DDFDocuments/u/G/TBTN16/ISR904.DOC")</f>
        <v>https://docs.wto.org/imrd/directdoc.asp?DDFDocuments/u/G/TBTN16/ISR904.DOC</v>
      </c>
      <c r="L215" s="2" t="str">
        <f>HYPERLINK("https://docs.wto.org/imrd/directdoc.asp?DDFDocuments/v/G/TBTN16/ISR904.DOC")</f>
        <v>https://docs.wto.org/imrd/directdoc.asp?DDFDocuments/v/G/TBTN16/ISR904.DOC</v>
      </c>
      <c r="M215" s="2" t="str">
        <f>HYPERLINK("http://www.epingalert.org/#/details/G/TBT/N/ISR/904")</f>
        <v>http://www.epingalert.org/#/details/G/TBT/N/ISR/904</v>
      </c>
      <c r="N215" s="2"/>
      <c r="O215" s="2"/>
    </row>
    <row r="216" spans="1:15" ht="210" outlineLevel="1" x14ac:dyDescent="0.25">
      <c r="A216" s="2" t="s">
        <v>47</v>
      </c>
      <c r="B216" s="4" t="s">
        <v>2110</v>
      </c>
      <c r="C216" s="2" t="s">
        <v>2111</v>
      </c>
      <c r="D216" s="2" t="s">
        <v>2112</v>
      </c>
      <c r="E216" s="3">
        <v>42461</v>
      </c>
      <c r="F216" s="2" t="s">
        <v>1941</v>
      </c>
      <c r="G216" s="2" t="s">
        <v>2113</v>
      </c>
      <c r="H216" s="2" t="s">
        <v>17</v>
      </c>
      <c r="I216" s="3">
        <v>42521</v>
      </c>
      <c r="J216" s="2" t="str">
        <f>HYPERLINK("https://docs.wto.org/imrd/directdoc.asp?DDFDocuments/t/G/TBTN16/ISR903.DOC")</f>
        <v>https://docs.wto.org/imrd/directdoc.asp?DDFDocuments/t/G/TBTN16/ISR903.DOC</v>
      </c>
      <c r="K216" s="2" t="str">
        <f>HYPERLINK("https://docs.wto.org/imrd/directdoc.asp?DDFDocuments/u/G/TBTN16/ISR903.DOC")</f>
        <v>https://docs.wto.org/imrd/directdoc.asp?DDFDocuments/u/G/TBTN16/ISR903.DOC</v>
      </c>
      <c r="L216" s="2" t="str">
        <f>HYPERLINK("https://docs.wto.org/imrd/directdoc.asp?DDFDocuments/v/G/TBTN16/ISR903.DOC")</f>
        <v>https://docs.wto.org/imrd/directdoc.asp?DDFDocuments/v/G/TBTN16/ISR903.DOC</v>
      </c>
      <c r="M216" s="2" t="str">
        <f>HYPERLINK("http://www.epingalert.org/#/details/G/TBT/N/ISR/903")</f>
        <v>http://www.epingalert.org/#/details/G/TBT/N/ISR/903</v>
      </c>
      <c r="N216" s="2"/>
      <c r="O216" s="2"/>
    </row>
    <row r="217" spans="1:15" ht="165" outlineLevel="1" x14ac:dyDescent="0.25">
      <c r="A217" s="2" t="s">
        <v>47</v>
      </c>
      <c r="B217" s="4" t="s">
        <v>2114</v>
      </c>
      <c r="C217" s="2" t="s">
        <v>2115</v>
      </c>
      <c r="D217" s="2" t="s">
        <v>2116</v>
      </c>
      <c r="E217" s="3">
        <v>42460</v>
      </c>
      <c r="F217" s="2" t="s">
        <v>2117</v>
      </c>
      <c r="G217" s="2" t="s">
        <v>2118</v>
      </c>
      <c r="H217" s="2" t="s">
        <v>17</v>
      </c>
      <c r="I217" s="3">
        <v>42520</v>
      </c>
      <c r="J217" s="2" t="str">
        <f>HYPERLINK("https://docs.wto.org/imrd/directdoc.asp?DDFDocuments/t/G/TBTN16/ISR900.DOC")</f>
        <v>https://docs.wto.org/imrd/directdoc.asp?DDFDocuments/t/G/TBTN16/ISR900.DOC</v>
      </c>
      <c r="K217" s="2" t="str">
        <f>HYPERLINK("https://docs.wto.org/imrd/directdoc.asp?DDFDocuments/u/G/TBTN16/ISR900.DOC")</f>
        <v>https://docs.wto.org/imrd/directdoc.asp?DDFDocuments/u/G/TBTN16/ISR900.DOC</v>
      </c>
      <c r="L217" s="2" t="str">
        <f>HYPERLINK("https://docs.wto.org/imrd/directdoc.asp?DDFDocuments/v/G/TBTN16/ISR900.DOC")</f>
        <v>https://docs.wto.org/imrd/directdoc.asp?DDFDocuments/v/G/TBTN16/ISR900.DOC</v>
      </c>
      <c r="M217" s="2" t="str">
        <f>HYPERLINK("http://www.epingalert.org/#/details/G/TBT/N/ISR/900")</f>
        <v>http://www.epingalert.org/#/details/G/TBT/N/ISR/900</v>
      </c>
      <c r="N217" s="2"/>
      <c r="O217" s="2"/>
    </row>
    <row r="218" spans="1:15" ht="409.5" outlineLevel="1" x14ac:dyDescent="0.25">
      <c r="A218" s="2" t="s">
        <v>18</v>
      </c>
      <c r="B218" s="4" t="s">
        <v>335</v>
      </c>
      <c r="C218" s="2" t="s">
        <v>336</v>
      </c>
      <c r="D218" s="2" t="s">
        <v>337</v>
      </c>
      <c r="E218" s="3">
        <v>42460</v>
      </c>
      <c r="F218" s="2" t="s">
        <v>338</v>
      </c>
      <c r="G218" s="2" t="s">
        <v>339</v>
      </c>
      <c r="H218" s="2" t="s">
        <v>340</v>
      </c>
      <c r="I218" s="3">
        <v>42482</v>
      </c>
      <c r="J218" s="2" t="str">
        <f>HYPERLINK("https://docs.wto.org/imrd/directdoc.asp?DDFDocuments/t/G/TBTN16/USA1095.DOC")</f>
        <v>https://docs.wto.org/imrd/directdoc.asp?DDFDocuments/t/G/TBTN16/USA1095.DOC</v>
      </c>
      <c r="K218" s="2" t="str">
        <f>HYPERLINK("https://docs.wto.org/imrd/directdoc.asp?DDFDocuments/u/G/TBTN16/USA1095.DOC")</f>
        <v>https://docs.wto.org/imrd/directdoc.asp?DDFDocuments/u/G/TBTN16/USA1095.DOC</v>
      </c>
      <c r="L218" s="2" t="str">
        <f>HYPERLINK("https://docs.wto.org/imrd/directdoc.asp?DDFDocuments/v/G/TBTN16/USA1095.DOC")</f>
        <v>https://docs.wto.org/imrd/directdoc.asp?DDFDocuments/v/G/TBTN16/USA1095.DOC</v>
      </c>
      <c r="M218" s="2" t="str">
        <f>HYPERLINK("http://www.epingalert.org/#/details/G/TBT/N/USA/1095")</f>
        <v>http://www.epingalert.org/#/details/G/TBT/N/USA/1095</v>
      </c>
      <c r="N218" s="2"/>
      <c r="O218" s="2"/>
    </row>
    <row r="219" spans="1:15" ht="180" outlineLevel="1" x14ac:dyDescent="0.25">
      <c r="A219" s="2" t="s">
        <v>98</v>
      </c>
      <c r="B219" s="4" t="s">
        <v>341</v>
      </c>
      <c r="C219" s="2" t="s">
        <v>342</v>
      </c>
      <c r="D219" s="2" t="s">
        <v>343</v>
      </c>
      <c r="E219" s="3">
        <v>42458</v>
      </c>
      <c r="F219" s="2"/>
      <c r="G219" s="2" t="s">
        <v>344</v>
      </c>
      <c r="H219" s="2" t="s">
        <v>24</v>
      </c>
      <c r="I219" s="3">
        <v>42518</v>
      </c>
      <c r="J219" s="2" t="str">
        <f>HYPERLINK("https://docs.wto.org/imrd/directdoc.asp?DDFDocuments/t/G/TBTN16/ZAF201.DOC")</f>
        <v>https://docs.wto.org/imrd/directdoc.asp?DDFDocuments/t/G/TBTN16/ZAF201.DOC</v>
      </c>
      <c r="K219" s="2" t="str">
        <f>HYPERLINK("https://docs.wto.org/imrd/directdoc.asp?DDFDocuments/u/G/TBTN16/ZAF201.DOC")</f>
        <v>https://docs.wto.org/imrd/directdoc.asp?DDFDocuments/u/G/TBTN16/ZAF201.DOC</v>
      </c>
      <c r="L219" s="2" t="str">
        <f>HYPERLINK("https://docs.wto.org/imrd/directdoc.asp?DDFDocuments/v/G/TBTN16/ZAF201.DOC")</f>
        <v>https://docs.wto.org/imrd/directdoc.asp?DDFDocuments/v/G/TBTN16/ZAF201.DOC</v>
      </c>
      <c r="M219" s="2" t="str">
        <f>HYPERLINK("http://www.epingalert.org/#/details/G/TBT/N/ZAF/201")</f>
        <v>http://www.epingalert.org/#/details/G/TBT/N/ZAF/201</v>
      </c>
      <c r="N219" s="2"/>
      <c r="O219" s="2"/>
    </row>
    <row r="220" spans="1:15" ht="105" outlineLevel="1" x14ac:dyDescent="0.25">
      <c r="A220" s="2" t="s">
        <v>77</v>
      </c>
      <c r="B220" s="4" t="s">
        <v>345</v>
      </c>
      <c r="C220" s="2" t="s">
        <v>346</v>
      </c>
      <c r="D220" s="2" t="s">
        <v>347</v>
      </c>
      <c r="E220" s="3">
        <v>42453</v>
      </c>
      <c r="F220" s="2" t="s">
        <v>348</v>
      </c>
      <c r="G220" s="2"/>
      <c r="H220" s="2" t="s">
        <v>82</v>
      </c>
      <c r="I220" s="3">
        <v>42513</v>
      </c>
      <c r="J220" s="2" t="str">
        <f>HYPERLINK("https://docs.wto.org/imrd/directdoc.asp?DDFDocuments/t/G/TBTN16/TPKM230.DOC")</f>
        <v>https://docs.wto.org/imrd/directdoc.asp?DDFDocuments/t/G/TBTN16/TPKM230.DOC</v>
      </c>
      <c r="K220" s="2" t="str">
        <f>HYPERLINK("https://docs.wto.org/imrd/directdoc.asp?DDFDocuments/u/G/TBTN16/TPKM230.DOC")</f>
        <v>https://docs.wto.org/imrd/directdoc.asp?DDFDocuments/u/G/TBTN16/TPKM230.DOC</v>
      </c>
      <c r="L220" s="2" t="str">
        <f>HYPERLINK("https://docs.wto.org/imrd/directdoc.asp?DDFDocuments/v/G/TBTN16/TPKM230.DOC")</f>
        <v>https://docs.wto.org/imrd/directdoc.asp?DDFDocuments/v/G/TBTN16/TPKM230.DOC</v>
      </c>
      <c r="M220" s="2" t="str">
        <f>HYPERLINK("http://www.epingalert.org/#/details/G/TBT/N/TPKM/230")</f>
        <v>http://www.epingalert.org/#/details/G/TBT/N/TPKM/230</v>
      </c>
      <c r="N220" s="2"/>
      <c r="O220" s="2"/>
    </row>
    <row r="221" spans="1:15" ht="225" outlineLevel="1" x14ac:dyDescent="0.25">
      <c r="A221" s="2" t="s">
        <v>12</v>
      </c>
      <c r="B221" s="4" t="s">
        <v>349</v>
      </c>
      <c r="C221" s="2" t="s">
        <v>350</v>
      </c>
      <c r="D221" s="2" t="s">
        <v>351</v>
      </c>
      <c r="E221" s="3">
        <v>42443</v>
      </c>
      <c r="F221" s="2" t="s">
        <v>352</v>
      </c>
      <c r="G221" s="2" t="s">
        <v>353</v>
      </c>
      <c r="H221" s="2" t="s">
        <v>17</v>
      </c>
      <c r="I221" s="3">
        <v>42503</v>
      </c>
      <c r="J221" s="2" t="str">
        <f>HYPERLINK("https://docs.wto.org/imrd/directdoc.asp?DDFDocuments/t/G/TBTN16/EU370.DOC")</f>
        <v>https://docs.wto.org/imrd/directdoc.asp?DDFDocuments/t/G/TBTN16/EU370.DOC</v>
      </c>
      <c r="K221" s="2" t="str">
        <f>HYPERLINK("https://docs.wto.org/imrd/directdoc.asp?DDFDocuments/u/G/TBTN16/EU370.DOC")</f>
        <v>https://docs.wto.org/imrd/directdoc.asp?DDFDocuments/u/G/TBTN16/EU370.DOC</v>
      </c>
      <c r="L221" s="2" t="str">
        <f>HYPERLINK("https://docs.wto.org/imrd/directdoc.asp?DDFDocuments/v/G/TBTN16/EU370.DOC")</f>
        <v>https://docs.wto.org/imrd/directdoc.asp?DDFDocuments/v/G/TBTN16/EU370.DOC</v>
      </c>
      <c r="M221" s="2" t="str">
        <f>HYPERLINK("http://www.epingalert.org/#/details/G/TBT/N/EU/370")</f>
        <v>http://www.epingalert.org/#/details/G/TBT/N/EU/370</v>
      </c>
      <c r="N221" s="2"/>
      <c r="O221" s="2"/>
    </row>
    <row r="222" spans="1:15" ht="195" outlineLevel="1" x14ac:dyDescent="0.25">
      <c r="A222" s="2" t="s">
        <v>47</v>
      </c>
      <c r="B222" s="4" t="s">
        <v>354</v>
      </c>
      <c r="C222" s="2" t="s">
        <v>355</v>
      </c>
      <c r="D222" s="2" t="s">
        <v>356</v>
      </c>
      <c r="E222" s="3">
        <v>42443</v>
      </c>
      <c r="F222" s="2" t="s">
        <v>357</v>
      </c>
      <c r="G222" s="2" t="s">
        <v>358</v>
      </c>
      <c r="H222" s="2" t="s">
        <v>17</v>
      </c>
      <c r="I222" s="3">
        <v>42503</v>
      </c>
      <c r="J222" s="2" t="str">
        <f>HYPERLINK("https://docs.wto.org/imrd/directdoc.asp?DDFDocuments/t/G/TBTN16/ISR887.DOC")</f>
        <v>https://docs.wto.org/imrd/directdoc.asp?DDFDocuments/t/G/TBTN16/ISR887.DOC</v>
      </c>
      <c r="K222" s="2" t="str">
        <f>HYPERLINK("https://docs.wto.org/imrd/directdoc.asp?DDFDocuments/u/G/TBTN16/ISR887.DOC")</f>
        <v>https://docs.wto.org/imrd/directdoc.asp?DDFDocuments/u/G/TBTN16/ISR887.DOC</v>
      </c>
      <c r="L222" s="2" t="str">
        <f>HYPERLINK("https://docs.wto.org/imrd/directdoc.asp?DDFDocuments/v/G/TBTN16/ISR887.DOC")</f>
        <v>https://docs.wto.org/imrd/directdoc.asp?DDFDocuments/v/G/TBTN16/ISR887.DOC</v>
      </c>
      <c r="M222" s="2" t="str">
        <f>HYPERLINK("http://www.epingalert.org/#/details/G/TBT/N/ISR/887")</f>
        <v>http://www.epingalert.org/#/details/G/TBT/N/ISR/887</v>
      </c>
      <c r="N222" s="2"/>
      <c r="O222" s="2"/>
    </row>
    <row r="223" spans="1:15" ht="315" outlineLevel="1" x14ac:dyDescent="0.25">
      <c r="A223" s="2" t="s">
        <v>47</v>
      </c>
      <c r="B223" s="4" t="s">
        <v>2119</v>
      </c>
      <c r="C223" s="2" t="s">
        <v>2120</v>
      </c>
      <c r="D223" s="2" t="s">
        <v>2121</v>
      </c>
      <c r="E223" s="3">
        <v>42443</v>
      </c>
      <c r="F223" s="2" t="s">
        <v>2122</v>
      </c>
      <c r="G223" s="2" t="s">
        <v>2123</v>
      </c>
      <c r="H223" s="2" t="s">
        <v>17</v>
      </c>
      <c r="I223" s="3">
        <v>42503</v>
      </c>
      <c r="J223" s="2" t="str">
        <f>HYPERLINK("https://docs.wto.org/imrd/directdoc.asp?DDFDocuments/t/G/TBTN16/ISR884.DOC")</f>
        <v>https://docs.wto.org/imrd/directdoc.asp?DDFDocuments/t/G/TBTN16/ISR884.DOC</v>
      </c>
      <c r="K223" s="2" t="str">
        <f>HYPERLINK("https://docs.wto.org/imrd/directdoc.asp?DDFDocuments/u/G/TBTN16/ISR884.DOC")</f>
        <v>https://docs.wto.org/imrd/directdoc.asp?DDFDocuments/u/G/TBTN16/ISR884.DOC</v>
      </c>
      <c r="L223" s="2" t="str">
        <f>HYPERLINK("https://docs.wto.org/imrd/directdoc.asp?DDFDocuments/v/G/TBTN16/ISR884.DOC")</f>
        <v>https://docs.wto.org/imrd/directdoc.asp?DDFDocuments/v/G/TBTN16/ISR884.DOC</v>
      </c>
      <c r="M223" s="2" t="str">
        <f>HYPERLINK("http://www.epingalert.org/#/details/G/TBT/N/ISR/884")</f>
        <v>http://www.epingalert.org/#/details/G/TBT/N/ISR/884</v>
      </c>
      <c r="N223" s="2"/>
      <c r="O223" s="2"/>
    </row>
    <row r="224" spans="1:15" ht="150" outlineLevel="1" x14ac:dyDescent="0.25">
      <c r="A224" s="2" t="s">
        <v>77</v>
      </c>
      <c r="B224" s="4" t="s">
        <v>359</v>
      </c>
      <c r="C224" s="2" t="s">
        <v>360</v>
      </c>
      <c r="D224" s="2" t="s">
        <v>361</v>
      </c>
      <c r="E224" s="3">
        <v>42433</v>
      </c>
      <c r="F224" s="2" t="s">
        <v>221</v>
      </c>
      <c r="G224" s="2"/>
      <c r="H224" s="2" t="s">
        <v>17</v>
      </c>
      <c r="I224" s="3">
        <v>42493</v>
      </c>
      <c r="J224" s="2" t="str">
        <f>HYPERLINK("https://docs.wto.org/imrd/directdoc.asp?DDFDocuments/t/G/TBTN16/TPKM229.DOC")</f>
        <v>https://docs.wto.org/imrd/directdoc.asp?DDFDocuments/t/G/TBTN16/TPKM229.DOC</v>
      </c>
      <c r="K224" s="2" t="str">
        <f>HYPERLINK("https://docs.wto.org/imrd/directdoc.asp?DDFDocuments/u/G/TBTN16/TPKM229.DOC")</f>
        <v>https://docs.wto.org/imrd/directdoc.asp?DDFDocuments/u/G/TBTN16/TPKM229.DOC</v>
      </c>
      <c r="L224" s="2" t="str">
        <f>HYPERLINK("https://docs.wto.org/imrd/directdoc.asp?DDFDocuments/v/G/TBTN16/TPKM229.DOC")</f>
        <v>https://docs.wto.org/imrd/directdoc.asp?DDFDocuments/v/G/TBTN16/TPKM229.DOC</v>
      </c>
      <c r="M224" s="2" t="str">
        <f>HYPERLINK("http://www.epingalert.org/#/details/G/TBT/N/TPKM/229")</f>
        <v>http://www.epingalert.org/#/details/G/TBT/N/TPKM/229</v>
      </c>
      <c r="N224" s="2"/>
      <c r="O224" s="2"/>
    </row>
    <row r="225" spans="1:15" ht="210" outlineLevel="1" x14ac:dyDescent="0.25">
      <c r="A225" s="2" t="s">
        <v>282</v>
      </c>
      <c r="B225" s="4" t="s">
        <v>362</v>
      </c>
      <c r="C225" s="2" t="s">
        <v>363</v>
      </c>
      <c r="D225" s="2" t="s">
        <v>364</v>
      </c>
      <c r="E225" s="3">
        <v>42431</v>
      </c>
      <c r="F225" s="2" t="s">
        <v>365</v>
      </c>
      <c r="G225" s="2"/>
      <c r="H225" s="2" t="s">
        <v>30</v>
      </c>
      <c r="I225" s="3">
        <v>42486</v>
      </c>
      <c r="J225" s="2" t="str">
        <f>HYPERLINK("https://docs.wto.org/imrd/directdoc.asp?DDFDocuments/t/G/TBTN16/RUS47.DOC")</f>
        <v>https://docs.wto.org/imrd/directdoc.asp?DDFDocuments/t/G/TBTN16/RUS47.DOC</v>
      </c>
      <c r="K225" s="2" t="str">
        <f>HYPERLINK("https://docs.wto.org/imrd/directdoc.asp?DDFDocuments/u/G/TBTN16/RUS47.DOC")</f>
        <v>https://docs.wto.org/imrd/directdoc.asp?DDFDocuments/u/G/TBTN16/RUS47.DOC</v>
      </c>
      <c r="L225" s="2" t="str">
        <f>HYPERLINK("https://docs.wto.org/imrd/directdoc.asp?DDFDocuments/v/G/TBTN16/RUS47.DOC")</f>
        <v>https://docs.wto.org/imrd/directdoc.asp?DDFDocuments/v/G/TBTN16/RUS47.DOC</v>
      </c>
      <c r="M225" s="2" t="str">
        <f>HYPERLINK("http://www.epingalert.org/#/details/G/TBT/N/RUS/47")</f>
        <v>http://www.epingalert.org/#/details/G/TBT/N/RUS/47</v>
      </c>
      <c r="N225" s="2"/>
      <c r="O225" s="2"/>
    </row>
    <row r="226" spans="1:15" ht="409.5" outlineLevel="1" x14ac:dyDescent="0.25">
      <c r="A226" s="2" t="s">
        <v>47</v>
      </c>
      <c r="B226" s="4" t="s">
        <v>2124</v>
      </c>
      <c r="C226" s="2" t="s">
        <v>2125</v>
      </c>
      <c r="D226" s="2" t="s">
        <v>2126</v>
      </c>
      <c r="E226" s="3">
        <v>42430</v>
      </c>
      <c r="F226" s="2" t="s">
        <v>2127</v>
      </c>
      <c r="G226" s="2" t="s">
        <v>2128</v>
      </c>
      <c r="H226" s="2" t="s">
        <v>17</v>
      </c>
      <c r="I226" s="3">
        <v>42490</v>
      </c>
      <c r="J226" s="2" t="str">
        <f>HYPERLINK("https://docs.wto.org/imrd/directdoc.asp?DDFDocuments/t/G/TBTN16/ISR873.DOC")</f>
        <v>https://docs.wto.org/imrd/directdoc.asp?DDFDocuments/t/G/TBTN16/ISR873.DOC</v>
      </c>
      <c r="K226" s="2" t="str">
        <f>HYPERLINK("https://docs.wto.org/imrd/directdoc.asp?DDFDocuments/u/G/TBTN16/ISR873.DOC")</f>
        <v>https://docs.wto.org/imrd/directdoc.asp?DDFDocuments/u/G/TBTN16/ISR873.DOC</v>
      </c>
      <c r="L226" s="2" t="str">
        <f>HYPERLINK("https://docs.wto.org/imrd/directdoc.asp?DDFDocuments/v/G/TBTN16/ISR873.DOC")</f>
        <v>https://docs.wto.org/imrd/directdoc.asp?DDFDocuments/v/G/TBTN16/ISR873.DOC</v>
      </c>
      <c r="M226" s="2" t="str">
        <f>HYPERLINK("http://www.epingalert.org/#/details/G/TBT/N/ISR/873")</f>
        <v>http://www.epingalert.org/#/details/G/TBT/N/ISR/873</v>
      </c>
      <c r="N226" s="2"/>
      <c r="O226" s="2"/>
    </row>
    <row r="227" spans="1:15" ht="180" outlineLevel="1" x14ac:dyDescent="0.25">
      <c r="A227" s="2" t="s">
        <v>18</v>
      </c>
      <c r="B227" s="4" t="s">
        <v>366</v>
      </c>
      <c r="C227" s="2" t="s">
        <v>367</v>
      </c>
      <c r="D227" s="2" t="s">
        <v>368</v>
      </c>
      <c r="E227" s="3">
        <v>42430</v>
      </c>
      <c r="F227" s="2" t="s">
        <v>369</v>
      </c>
      <c r="G227" s="2" t="s">
        <v>370</v>
      </c>
      <c r="H227" s="2" t="s">
        <v>17</v>
      </c>
      <c r="I227" s="2"/>
      <c r="J227" s="2" t="str">
        <f>HYPERLINK("https://docs.wto.org/imrd/directdoc.asp?DDFDocuments/t/G/TBTN16/USA1079.DOC")</f>
        <v>https://docs.wto.org/imrd/directdoc.asp?DDFDocuments/t/G/TBTN16/USA1079.DOC</v>
      </c>
      <c r="K227" s="2" t="str">
        <f>HYPERLINK("https://docs.wto.org/imrd/directdoc.asp?DDFDocuments/u/G/TBTN16/USA1079.DOC")</f>
        <v>https://docs.wto.org/imrd/directdoc.asp?DDFDocuments/u/G/TBTN16/USA1079.DOC</v>
      </c>
      <c r="L227" s="2" t="str">
        <f>HYPERLINK("https://docs.wto.org/imrd/directdoc.asp?DDFDocuments/v/G/TBTN16/USA1079.DOC")</f>
        <v>https://docs.wto.org/imrd/directdoc.asp?DDFDocuments/v/G/TBTN16/USA1079.DOC</v>
      </c>
      <c r="M227" s="2" t="str">
        <f>HYPERLINK("http://www.epingalert.org/#/details/G/TBT/N/USA/1079")</f>
        <v>http://www.epingalert.org/#/details/G/TBT/N/USA/1079</v>
      </c>
      <c r="N227" s="2"/>
      <c r="O227" s="2"/>
    </row>
    <row r="228" spans="1:15" ht="195" outlineLevel="1" x14ac:dyDescent="0.25">
      <c r="A228" s="2" t="s">
        <v>77</v>
      </c>
      <c r="B228" s="4" t="s">
        <v>371</v>
      </c>
      <c r="C228" s="2" t="s">
        <v>372</v>
      </c>
      <c r="D228" s="2" t="s">
        <v>373</v>
      </c>
      <c r="E228" s="3">
        <v>42423</v>
      </c>
      <c r="F228" s="2" t="s">
        <v>374</v>
      </c>
      <c r="G228" s="2"/>
      <c r="H228" s="2"/>
      <c r="I228" s="3">
        <v>42483</v>
      </c>
      <c r="J228" s="2" t="str">
        <f>HYPERLINK("https://docs.wto.org/imrd/directdoc.asp?DDFDocuments/t/G/TBTN16/TPKM185R1.DOC")</f>
        <v>https://docs.wto.org/imrd/directdoc.asp?DDFDocuments/t/G/TBTN16/TPKM185R1.DOC</v>
      </c>
      <c r="K228" s="2" t="str">
        <f>HYPERLINK("https://docs.wto.org/imrd/directdoc.asp?DDFDocuments/u/G/TBTN16/TPKM185R1.DOC")</f>
        <v>https://docs.wto.org/imrd/directdoc.asp?DDFDocuments/u/G/TBTN16/TPKM185R1.DOC</v>
      </c>
      <c r="L228" s="2" t="str">
        <f>HYPERLINK("https://docs.wto.org/imrd/directdoc.asp?DDFDocuments/v/G/TBTN16/TPKM185R1.DOC")</f>
        <v>https://docs.wto.org/imrd/directdoc.asp?DDFDocuments/v/G/TBTN16/TPKM185R1.DOC</v>
      </c>
      <c r="M228" s="2" t="str">
        <f>HYPERLINK("http://www.epingalert.org/#/details/G/TBT/N/TPKM/185/Rev.1")</f>
        <v>http://www.epingalert.org/#/details/G/TBT/N/TPKM/185/Rev.1</v>
      </c>
      <c r="N228" s="2"/>
      <c r="O228" s="2"/>
    </row>
    <row r="229" spans="1:15" ht="120" outlineLevel="1" x14ac:dyDescent="0.25">
      <c r="A229" s="2" t="s">
        <v>180</v>
      </c>
      <c r="B229" s="4" t="s">
        <v>375</v>
      </c>
      <c r="C229" s="2" t="s">
        <v>376</v>
      </c>
      <c r="D229" s="2" t="s">
        <v>377</v>
      </c>
      <c r="E229" s="3">
        <v>42419</v>
      </c>
      <c r="F229" s="2" t="s">
        <v>378</v>
      </c>
      <c r="G229" s="2"/>
      <c r="H229" s="2" t="s">
        <v>30</v>
      </c>
      <c r="I229" s="3">
        <v>42479</v>
      </c>
      <c r="J229" s="2" t="str">
        <f t="shared" ref="J229:J234" si="14">HYPERLINK("https://docs.wto.org/imrd/directdoc.asp?DDFDocuments/t/G/TBTN16/ARE303.DOC")</f>
        <v>https://docs.wto.org/imrd/directdoc.asp?DDFDocuments/t/G/TBTN16/ARE303.DOC</v>
      </c>
      <c r="K229" s="2" t="str">
        <f t="shared" ref="K229:K234" si="15">HYPERLINK("https://docs.wto.org/imrd/directdoc.asp?DDFDocuments/u/G/TBTN16/ARE303.DOC")</f>
        <v>https://docs.wto.org/imrd/directdoc.asp?DDFDocuments/u/G/TBTN16/ARE303.DOC</v>
      </c>
      <c r="L229" s="2" t="str">
        <f t="shared" ref="L229:L234" si="16">HYPERLINK("https://docs.wto.org/imrd/directdoc.asp?DDFDocuments/v/G/TBTN16/ARE303.DOC")</f>
        <v>https://docs.wto.org/imrd/directdoc.asp?DDFDocuments/v/G/TBTN16/ARE303.DOC</v>
      </c>
      <c r="M229" s="2" t="str">
        <f t="shared" ref="M229:M234" si="17">HYPERLINK("http://www.epingalert.org/#/details/G/TBT/N/ARE/303#G/TBT/N/BHR/431#G/TBT/N/KWT/313#G/TBT/N/OMN/245#G/TBT/N/QAT/427#G/TBT/N/SAU/918#G/TBT/N/YEM/33")</f>
        <v>http://www.epingalert.org/#/details/G/TBT/N/ARE/303#G/TBT/N/BHR/431#G/TBT/N/KWT/313#G/TBT/N/OMN/245#G/TBT/N/QAT/427#G/TBT/N/SAU/918#G/TBT/N/YEM/33</v>
      </c>
      <c r="N229" s="2"/>
      <c r="O229" s="2"/>
    </row>
    <row r="230" spans="1:15" ht="120" outlineLevel="1" x14ac:dyDescent="0.25">
      <c r="A230" s="2" t="s">
        <v>184</v>
      </c>
      <c r="B230" s="4" t="s">
        <v>375</v>
      </c>
      <c r="C230" s="2" t="s">
        <v>376</v>
      </c>
      <c r="D230" s="2" t="s">
        <v>377</v>
      </c>
      <c r="E230" s="3">
        <v>42419</v>
      </c>
      <c r="F230" s="2" t="s">
        <v>378</v>
      </c>
      <c r="G230" s="2"/>
      <c r="H230" s="2" t="s">
        <v>30</v>
      </c>
      <c r="I230" s="3">
        <v>42479</v>
      </c>
      <c r="J230" s="2" t="str">
        <f t="shared" si="14"/>
        <v>https://docs.wto.org/imrd/directdoc.asp?DDFDocuments/t/G/TBTN16/ARE303.DOC</v>
      </c>
      <c r="K230" s="2" t="str">
        <f t="shared" si="15"/>
        <v>https://docs.wto.org/imrd/directdoc.asp?DDFDocuments/u/G/TBTN16/ARE303.DOC</v>
      </c>
      <c r="L230" s="2" t="str">
        <f t="shared" si="16"/>
        <v>https://docs.wto.org/imrd/directdoc.asp?DDFDocuments/v/G/TBTN16/ARE303.DOC</v>
      </c>
      <c r="M230" s="2" t="str">
        <f t="shared" si="17"/>
        <v>http://www.epingalert.org/#/details/G/TBT/N/ARE/303#G/TBT/N/BHR/431#G/TBT/N/KWT/313#G/TBT/N/OMN/245#G/TBT/N/QAT/427#G/TBT/N/SAU/918#G/TBT/N/YEM/33</v>
      </c>
      <c r="N230" s="2"/>
      <c r="O230" s="2"/>
    </row>
    <row r="231" spans="1:15" ht="120" outlineLevel="1" x14ac:dyDescent="0.25">
      <c r="A231" s="2" t="s">
        <v>173</v>
      </c>
      <c r="B231" s="4" t="s">
        <v>375</v>
      </c>
      <c r="C231" s="2" t="s">
        <v>376</v>
      </c>
      <c r="D231" s="2" t="s">
        <v>377</v>
      </c>
      <c r="E231" s="3">
        <v>42419</v>
      </c>
      <c r="F231" s="2" t="s">
        <v>378</v>
      </c>
      <c r="G231" s="2"/>
      <c r="H231" s="2" t="s">
        <v>30</v>
      </c>
      <c r="I231" s="3">
        <v>42479</v>
      </c>
      <c r="J231" s="2" t="str">
        <f t="shared" si="14"/>
        <v>https://docs.wto.org/imrd/directdoc.asp?DDFDocuments/t/G/TBTN16/ARE303.DOC</v>
      </c>
      <c r="K231" s="2" t="str">
        <f t="shared" si="15"/>
        <v>https://docs.wto.org/imrd/directdoc.asp?DDFDocuments/u/G/TBTN16/ARE303.DOC</v>
      </c>
      <c r="L231" s="2" t="str">
        <f t="shared" si="16"/>
        <v>https://docs.wto.org/imrd/directdoc.asp?DDFDocuments/v/G/TBTN16/ARE303.DOC</v>
      </c>
      <c r="M231" s="2" t="str">
        <f t="shared" si="17"/>
        <v>http://www.epingalert.org/#/details/G/TBT/N/ARE/303#G/TBT/N/BHR/431#G/TBT/N/KWT/313#G/TBT/N/OMN/245#G/TBT/N/QAT/427#G/TBT/N/SAU/918#G/TBT/N/YEM/33</v>
      </c>
      <c r="N231" s="2"/>
      <c r="O231" s="2"/>
    </row>
    <row r="232" spans="1:15" ht="120" outlineLevel="1" x14ac:dyDescent="0.25">
      <c r="A232" s="2" t="s">
        <v>178</v>
      </c>
      <c r="B232" s="4" t="s">
        <v>375</v>
      </c>
      <c r="C232" s="2" t="s">
        <v>379</v>
      </c>
      <c r="D232" s="2" t="s">
        <v>377</v>
      </c>
      <c r="E232" s="3">
        <v>42419</v>
      </c>
      <c r="F232" s="2" t="s">
        <v>378</v>
      </c>
      <c r="G232" s="2"/>
      <c r="H232" s="2" t="s">
        <v>30</v>
      </c>
      <c r="I232" s="3">
        <v>42479</v>
      </c>
      <c r="J232" s="2" t="str">
        <f t="shared" si="14"/>
        <v>https://docs.wto.org/imrd/directdoc.asp?DDFDocuments/t/G/TBTN16/ARE303.DOC</v>
      </c>
      <c r="K232" s="2" t="str">
        <f t="shared" si="15"/>
        <v>https://docs.wto.org/imrd/directdoc.asp?DDFDocuments/u/G/TBTN16/ARE303.DOC</v>
      </c>
      <c r="L232" s="2" t="str">
        <f t="shared" si="16"/>
        <v>https://docs.wto.org/imrd/directdoc.asp?DDFDocuments/v/G/TBTN16/ARE303.DOC</v>
      </c>
      <c r="M232" s="2" t="str">
        <f t="shared" si="17"/>
        <v>http://www.epingalert.org/#/details/G/TBT/N/ARE/303#G/TBT/N/BHR/431#G/TBT/N/KWT/313#G/TBT/N/OMN/245#G/TBT/N/QAT/427#G/TBT/N/SAU/918#G/TBT/N/YEM/33</v>
      </c>
      <c r="N232" s="2"/>
      <c r="O232" s="2"/>
    </row>
    <row r="233" spans="1:15" ht="120" outlineLevel="1" x14ac:dyDescent="0.25">
      <c r="A233" s="2" t="s">
        <v>179</v>
      </c>
      <c r="B233" s="4" t="s">
        <v>375</v>
      </c>
      <c r="C233" s="2" t="s">
        <v>376</v>
      </c>
      <c r="D233" s="2" t="s">
        <v>377</v>
      </c>
      <c r="E233" s="3">
        <v>42419</v>
      </c>
      <c r="F233" s="2" t="s">
        <v>378</v>
      </c>
      <c r="G233" s="2"/>
      <c r="H233" s="2" t="s">
        <v>30</v>
      </c>
      <c r="I233" s="3">
        <v>42479</v>
      </c>
      <c r="J233" s="2" t="str">
        <f t="shared" si="14"/>
        <v>https://docs.wto.org/imrd/directdoc.asp?DDFDocuments/t/G/TBTN16/ARE303.DOC</v>
      </c>
      <c r="K233" s="2" t="str">
        <f t="shared" si="15"/>
        <v>https://docs.wto.org/imrd/directdoc.asp?DDFDocuments/u/G/TBTN16/ARE303.DOC</v>
      </c>
      <c r="L233" s="2" t="str">
        <f t="shared" si="16"/>
        <v>https://docs.wto.org/imrd/directdoc.asp?DDFDocuments/v/G/TBTN16/ARE303.DOC</v>
      </c>
      <c r="M233" s="2" t="str">
        <f t="shared" si="17"/>
        <v>http://www.epingalert.org/#/details/G/TBT/N/ARE/303#G/TBT/N/BHR/431#G/TBT/N/KWT/313#G/TBT/N/OMN/245#G/TBT/N/QAT/427#G/TBT/N/SAU/918#G/TBT/N/YEM/33</v>
      </c>
      <c r="N233" s="2"/>
      <c r="O233" s="2"/>
    </row>
    <row r="234" spans="1:15" ht="120" outlineLevel="1" x14ac:dyDescent="0.25">
      <c r="A234" s="2" t="s">
        <v>181</v>
      </c>
      <c r="B234" s="4" t="s">
        <v>375</v>
      </c>
      <c r="C234" s="2" t="s">
        <v>376</v>
      </c>
      <c r="D234" s="2" t="s">
        <v>377</v>
      </c>
      <c r="E234" s="3">
        <v>42419</v>
      </c>
      <c r="F234" s="2" t="s">
        <v>378</v>
      </c>
      <c r="G234" s="2"/>
      <c r="H234" s="2" t="s">
        <v>30</v>
      </c>
      <c r="I234" s="3">
        <v>42479</v>
      </c>
      <c r="J234" s="2" t="str">
        <f t="shared" si="14"/>
        <v>https://docs.wto.org/imrd/directdoc.asp?DDFDocuments/t/G/TBTN16/ARE303.DOC</v>
      </c>
      <c r="K234" s="2" t="str">
        <f t="shared" si="15"/>
        <v>https://docs.wto.org/imrd/directdoc.asp?DDFDocuments/u/G/TBTN16/ARE303.DOC</v>
      </c>
      <c r="L234" s="2" t="str">
        <f t="shared" si="16"/>
        <v>https://docs.wto.org/imrd/directdoc.asp?DDFDocuments/v/G/TBTN16/ARE303.DOC</v>
      </c>
      <c r="M234" s="2" t="str">
        <f t="shared" si="17"/>
        <v>http://www.epingalert.org/#/details/G/TBT/N/ARE/303#G/TBT/N/BHR/431#G/TBT/N/KWT/313#G/TBT/N/OMN/245#G/TBT/N/QAT/427#G/TBT/N/SAU/918#G/TBT/N/YEM/33</v>
      </c>
      <c r="N234" s="2"/>
      <c r="O234" s="2"/>
    </row>
    <row r="235" spans="1:15" ht="165" outlineLevel="1" x14ac:dyDescent="0.25">
      <c r="A235" s="2" t="s">
        <v>77</v>
      </c>
      <c r="B235" s="4" t="s">
        <v>1494</v>
      </c>
      <c r="C235" s="2" t="s">
        <v>1495</v>
      </c>
      <c r="D235" s="2" t="s">
        <v>1496</v>
      </c>
      <c r="E235" s="3">
        <v>42419</v>
      </c>
      <c r="F235" s="2" t="s">
        <v>1497</v>
      </c>
      <c r="G235" s="2" t="s">
        <v>1498</v>
      </c>
      <c r="H235" s="2" t="s">
        <v>24</v>
      </c>
      <c r="I235" s="3">
        <v>42479</v>
      </c>
      <c r="J235" s="2" t="str">
        <f>HYPERLINK("https://docs.wto.org/imrd/directdoc.asp?DDFDocuments/t/G/TBTN16/TPKM228.DOC")</f>
        <v>https://docs.wto.org/imrd/directdoc.asp?DDFDocuments/t/G/TBTN16/TPKM228.DOC</v>
      </c>
      <c r="K235" s="2" t="str">
        <f>HYPERLINK("https://docs.wto.org/imrd/directdoc.asp?DDFDocuments/u/G/TBTN16/TPKM228.DOC")</f>
        <v>https://docs.wto.org/imrd/directdoc.asp?DDFDocuments/u/G/TBTN16/TPKM228.DOC</v>
      </c>
      <c r="L235" s="2" t="str">
        <f>HYPERLINK("https://docs.wto.org/imrd/directdoc.asp?DDFDocuments/v/G/TBTN16/TPKM228.DOC")</f>
        <v>https://docs.wto.org/imrd/directdoc.asp?DDFDocuments/v/G/TBTN16/TPKM228.DOC</v>
      </c>
      <c r="M235" s="2" t="str">
        <f>HYPERLINK("http://www.epingalert.org/#/details/G/TBT/N/TPKM/228")</f>
        <v>http://www.epingalert.org/#/details/G/TBT/N/TPKM/228</v>
      </c>
      <c r="N235" s="2"/>
      <c r="O235" s="2"/>
    </row>
    <row r="236" spans="1:15" ht="75" outlineLevel="1" x14ac:dyDescent="0.25">
      <c r="A236" s="2" t="s">
        <v>380</v>
      </c>
      <c r="B236" s="4" t="s">
        <v>381</v>
      </c>
      <c r="C236" s="2" t="s">
        <v>382</v>
      </c>
      <c r="D236" s="2" t="s">
        <v>383</v>
      </c>
      <c r="E236" s="3">
        <v>42418</v>
      </c>
      <c r="F236" s="2" t="s">
        <v>384</v>
      </c>
      <c r="G236" s="2" t="s">
        <v>103</v>
      </c>
      <c r="H236" s="2" t="s">
        <v>17</v>
      </c>
      <c r="I236" s="3">
        <v>42478</v>
      </c>
      <c r="J236" s="2" t="str">
        <f>HYPERLINK("https://docs.wto.org/imrd/directdoc.asp?DDFDocuments/t/G/TBTN16/CHN1167.DOC")</f>
        <v>https://docs.wto.org/imrd/directdoc.asp?DDFDocuments/t/G/TBTN16/CHN1167.DOC</v>
      </c>
      <c r="K236" s="2" t="str">
        <f>HYPERLINK("https://docs.wto.org/imrd/directdoc.asp?DDFDocuments/u/G/TBTN16/CHN1167.DOC")</f>
        <v>https://docs.wto.org/imrd/directdoc.asp?DDFDocuments/u/G/TBTN16/CHN1167.DOC</v>
      </c>
      <c r="L236" s="2" t="str">
        <f>HYPERLINK("https://docs.wto.org/imrd/directdoc.asp?DDFDocuments/v/G/TBTN16/CHN1167.DOC")</f>
        <v>https://docs.wto.org/imrd/directdoc.asp?DDFDocuments/v/G/TBTN16/CHN1167.DOC</v>
      </c>
      <c r="M236" s="2" t="str">
        <f>HYPERLINK("http://www.epingalert.org/#/details/G/TBT/N/CHN/1167")</f>
        <v>http://www.epingalert.org/#/details/G/TBT/N/CHN/1167</v>
      </c>
      <c r="N236" s="2"/>
      <c r="O236" s="2"/>
    </row>
    <row r="237" spans="1:15" ht="135" outlineLevel="1" x14ac:dyDescent="0.25">
      <c r="A237" s="2" t="s">
        <v>25</v>
      </c>
      <c r="B237" s="4" t="s">
        <v>385</v>
      </c>
      <c r="C237" s="2" t="s">
        <v>386</v>
      </c>
      <c r="D237" s="2" t="s">
        <v>387</v>
      </c>
      <c r="E237" s="3">
        <v>42418</v>
      </c>
      <c r="F237" s="2" t="s">
        <v>388</v>
      </c>
      <c r="G237" s="2"/>
      <c r="H237" s="2" t="s">
        <v>17</v>
      </c>
      <c r="I237" s="3">
        <v>42478</v>
      </c>
      <c r="J237" s="2" t="str">
        <f>HYPERLINK("https://docs.wto.org/imrd/directdoc.asp?DDFDocuments/t/G/TBTN16/KOR628.DOC")</f>
        <v>https://docs.wto.org/imrd/directdoc.asp?DDFDocuments/t/G/TBTN16/KOR628.DOC</v>
      </c>
      <c r="K237" s="2" t="str">
        <f>HYPERLINK("https://docs.wto.org/imrd/directdoc.asp?DDFDocuments/u/G/TBTN16/KOR628.DOC")</f>
        <v>https://docs.wto.org/imrd/directdoc.asp?DDFDocuments/u/G/TBTN16/KOR628.DOC</v>
      </c>
      <c r="L237" s="2" t="str">
        <f>HYPERLINK("https://docs.wto.org/imrd/directdoc.asp?DDFDocuments/v/G/TBTN16/KOR628.DOC")</f>
        <v>https://docs.wto.org/imrd/directdoc.asp?DDFDocuments/v/G/TBTN16/KOR628.DOC</v>
      </c>
      <c r="M237" s="2" t="str">
        <f>HYPERLINK("http://www.epingalert.org/#/details/G/TBT/N/KOR/628")</f>
        <v>http://www.epingalert.org/#/details/G/TBT/N/KOR/628</v>
      </c>
      <c r="N237" s="2"/>
      <c r="O237" s="2"/>
    </row>
    <row r="238" spans="1:15" ht="75" outlineLevel="1" x14ac:dyDescent="0.25">
      <c r="A238" s="2" t="s">
        <v>380</v>
      </c>
      <c r="B238" s="4" t="s">
        <v>389</v>
      </c>
      <c r="C238" s="2" t="s">
        <v>390</v>
      </c>
      <c r="D238" s="2" t="s">
        <v>391</v>
      </c>
      <c r="E238" s="3">
        <v>42418</v>
      </c>
      <c r="F238" s="2" t="s">
        <v>384</v>
      </c>
      <c r="G238" s="2" t="s">
        <v>103</v>
      </c>
      <c r="H238" s="2" t="s">
        <v>17</v>
      </c>
      <c r="I238" s="3">
        <v>42478</v>
      </c>
      <c r="J238" s="2" t="str">
        <f>HYPERLINK("https://docs.wto.org/imrd/directdoc.asp?DDFDocuments/t/G/TBTN16/CHN1168.DOC")</f>
        <v>https://docs.wto.org/imrd/directdoc.asp?DDFDocuments/t/G/TBTN16/CHN1168.DOC</v>
      </c>
      <c r="K238" s="2" t="str">
        <f>HYPERLINK("https://docs.wto.org/imrd/directdoc.asp?DDFDocuments/u/G/TBTN16/CHN1168.DOC")</f>
        <v>https://docs.wto.org/imrd/directdoc.asp?DDFDocuments/u/G/TBTN16/CHN1168.DOC</v>
      </c>
      <c r="L238" s="2" t="str">
        <f>HYPERLINK("https://docs.wto.org/imrd/directdoc.asp?DDFDocuments/v/G/TBTN16/CHN1168.DOC")</f>
        <v>https://docs.wto.org/imrd/directdoc.asp?DDFDocuments/v/G/TBTN16/CHN1168.DOC</v>
      </c>
      <c r="M238" s="2" t="str">
        <f>HYPERLINK("http://www.epingalert.org/#/details/G/TBT/N/CHN/1168")</f>
        <v>http://www.epingalert.org/#/details/G/TBT/N/CHN/1168</v>
      </c>
      <c r="N238" s="2"/>
      <c r="O238" s="2"/>
    </row>
    <row r="239" spans="1:15" ht="75" outlineLevel="1" x14ac:dyDescent="0.25">
      <c r="A239" s="2" t="s">
        <v>47</v>
      </c>
      <c r="B239" s="4" t="s">
        <v>2129</v>
      </c>
      <c r="C239" s="2" t="s">
        <v>2130</v>
      </c>
      <c r="D239" s="2" t="s">
        <v>2131</v>
      </c>
      <c r="E239" s="3">
        <v>42418</v>
      </c>
      <c r="F239" s="2" t="s">
        <v>2132</v>
      </c>
      <c r="G239" s="2" t="s">
        <v>2133</v>
      </c>
      <c r="H239" s="2"/>
      <c r="I239" s="3">
        <v>42478</v>
      </c>
      <c r="J239" s="2" t="str">
        <f>HYPERLINK("https://docs.wto.org/imrd/directdoc.asp?DDFDocuments/t/G/TBTN16/ISR863.DOC")</f>
        <v>https://docs.wto.org/imrd/directdoc.asp?DDFDocuments/t/G/TBTN16/ISR863.DOC</v>
      </c>
      <c r="K239" s="2" t="str">
        <f>HYPERLINK("https://docs.wto.org/imrd/directdoc.asp?DDFDocuments/u/G/TBTN16/ISR863.DOC")</f>
        <v>https://docs.wto.org/imrd/directdoc.asp?DDFDocuments/u/G/TBTN16/ISR863.DOC</v>
      </c>
      <c r="L239" s="2" t="str">
        <f>HYPERLINK("https://docs.wto.org/imrd/directdoc.asp?DDFDocuments/v/G/TBTN16/ISR863.DOC")</f>
        <v>https://docs.wto.org/imrd/directdoc.asp?DDFDocuments/v/G/TBTN16/ISR863.DOC</v>
      </c>
      <c r="M239" s="2" t="str">
        <f>HYPERLINK("http://www.epingalert.org/#/details/G/TBT/N/ISR/863")</f>
        <v>http://www.epingalert.org/#/details/G/TBT/N/ISR/863</v>
      </c>
      <c r="N239" s="2"/>
      <c r="O239" s="2"/>
    </row>
    <row r="240" spans="1:15" ht="60" outlineLevel="1" x14ac:dyDescent="0.25">
      <c r="A240" s="2" t="s">
        <v>121</v>
      </c>
      <c r="B240" s="4" t="s">
        <v>392</v>
      </c>
      <c r="C240" s="2" t="s">
        <v>393</v>
      </c>
      <c r="D240" s="2" t="s">
        <v>394</v>
      </c>
      <c r="E240" s="3">
        <v>42415</v>
      </c>
      <c r="F240" s="2" t="s">
        <v>299</v>
      </c>
      <c r="G240" s="2"/>
      <c r="H240" s="2" t="s">
        <v>17</v>
      </c>
      <c r="I240" s="3">
        <v>42475</v>
      </c>
      <c r="J240" s="2" t="str">
        <f>HYPERLINK("https://docs.wto.org/imrd/directdoc.asp?DDFDocuments/t/G/TBTN16/IND53.DOC")</f>
        <v>https://docs.wto.org/imrd/directdoc.asp?DDFDocuments/t/G/TBTN16/IND53.DOC</v>
      </c>
      <c r="K240" s="2" t="str">
        <f>HYPERLINK("https://docs.wto.org/imrd/directdoc.asp?DDFDocuments/u/G/TBTN16/IND53.DOC")</f>
        <v>https://docs.wto.org/imrd/directdoc.asp?DDFDocuments/u/G/TBTN16/IND53.DOC</v>
      </c>
      <c r="L240" s="2" t="str">
        <f>HYPERLINK("https://docs.wto.org/imrd/directdoc.asp?DDFDocuments/v/G/TBTN16/IND53.DOC")</f>
        <v>https://docs.wto.org/imrd/directdoc.asp?DDFDocuments/v/G/TBTN16/IND53.DOC</v>
      </c>
      <c r="M240" s="2" t="str">
        <f>HYPERLINK("http://www.epingalert.org/#/details/G/TBT/N/IND/53")</f>
        <v>http://www.epingalert.org/#/details/G/TBT/N/IND/53</v>
      </c>
      <c r="N240" s="2"/>
      <c r="O240" s="2"/>
    </row>
    <row r="241" spans="1:15" ht="120" outlineLevel="1" x14ac:dyDescent="0.25">
      <c r="A241" s="2" t="s">
        <v>12</v>
      </c>
      <c r="B241" s="4" t="s">
        <v>395</v>
      </c>
      <c r="C241" s="2" t="s">
        <v>396</v>
      </c>
      <c r="D241" s="2" t="s">
        <v>397</v>
      </c>
      <c r="E241" s="3">
        <v>42412</v>
      </c>
      <c r="F241" s="2" t="s">
        <v>86</v>
      </c>
      <c r="G241" s="2"/>
      <c r="H241" s="2" t="s">
        <v>17</v>
      </c>
      <c r="I241" s="3">
        <v>42472</v>
      </c>
      <c r="J241" s="2" t="str">
        <f>HYPERLINK("https://docs.wto.org/imrd/directdoc.asp?DDFDocuments/t/G/TBTN16/EU352.DOC")</f>
        <v>https://docs.wto.org/imrd/directdoc.asp?DDFDocuments/t/G/TBTN16/EU352.DOC</v>
      </c>
      <c r="K241" s="2" t="str">
        <f>HYPERLINK("https://docs.wto.org/imrd/directdoc.asp?DDFDocuments/u/G/TBTN16/EU352.DOC")</f>
        <v>https://docs.wto.org/imrd/directdoc.asp?DDFDocuments/u/G/TBTN16/EU352.DOC</v>
      </c>
      <c r="L241" s="2" t="str">
        <f>HYPERLINK("https://docs.wto.org/imrd/directdoc.asp?DDFDocuments/v/G/TBTN16/EU352.DOC")</f>
        <v>https://docs.wto.org/imrd/directdoc.asp?DDFDocuments/v/G/TBTN16/EU352.DOC</v>
      </c>
      <c r="M241" s="2" t="str">
        <f>HYPERLINK("http://www.epingalert.org/#/details/G/TBT/N/EU/352")</f>
        <v>http://www.epingalert.org/#/details/G/TBT/N/EU/352</v>
      </c>
      <c r="N241" s="2"/>
      <c r="O241" s="2"/>
    </row>
    <row r="242" spans="1:15" ht="120" outlineLevel="1" x14ac:dyDescent="0.25">
      <c r="A242" s="2" t="s">
        <v>12</v>
      </c>
      <c r="B242" s="4" t="s">
        <v>398</v>
      </c>
      <c r="C242" s="2" t="s">
        <v>399</v>
      </c>
      <c r="D242" s="2" t="s">
        <v>400</v>
      </c>
      <c r="E242" s="3">
        <v>42412</v>
      </c>
      <c r="F242" s="2" t="s">
        <v>86</v>
      </c>
      <c r="G242" s="2"/>
      <c r="H242" s="2" t="s">
        <v>17</v>
      </c>
      <c r="I242" s="3">
        <v>42472</v>
      </c>
      <c r="J242" s="2" t="str">
        <f>HYPERLINK("https://docs.wto.org/imrd/directdoc.asp?DDFDocuments/t/G/TBTN16/EU351.DOC")</f>
        <v>https://docs.wto.org/imrd/directdoc.asp?DDFDocuments/t/G/TBTN16/EU351.DOC</v>
      </c>
      <c r="K242" s="2" t="str">
        <f>HYPERLINK("https://docs.wto.org/imrd/directdoc.asp?DDFDocuments/u/G/TBTN16/EU351.DOC")</f>
        <v>https://docs.wto.org/imrd/directdoc.asp?DDFDocuments/u/G/TBTN16/EU351.DOC</v>
      </c>
      <c r="L242" s="2" t="str">
        <f>HYPERLINK("https://docs.wto.org/imrd/directdoc.asp?DDFDocuments/v/G/TBTN16/EU351.DOC")</f>
        <v>https://docs.wto.org/imrd/directdoc.asp?DDFDocuments/v/G/TBTN16/EU351.DOC</v>
      </c>
      <c r="M242" s="2" t="str">
        <f>HYPERLINK("http://www.epingalert.org/#/details/G/TBT/N/EU/351")</f>
        <v>http://www.epingalert.org/#/details/G/TBT/N/EU/351</v>
      </c>
      <c r="N242" s="2"/>
      <c r="O242" s="2"/>
    </row>
    <row r="243" spans="1:15" ht="285" outlineLevel="1" x14ac:dyDescent="0.25">
      <c r="A243" s="2" t="s">
        <v>12</v>
      </c>
      <c r="B243" s="4" t="s">
        <v>401</v>
      </c>
      <c r="C243" s="2" t="s">
        <v>402</v>
      </c>
      <c r="D243" s="2" t="s">
        <v>403</v>
      </c>
      <c r="E243" s="3">
        <v>42411</v>
      </c>
      <c r="F243" s="2" t="s">
        <v>86</v>
      </c>
      <c r="G243" s="2"/>
      <c r="H243" s="2" t="s">
        <v>17</v>
      </c>
      <c r="I243" s="3">
        <v>42471</v>
      </c>
      <c r="J243" s="2" t="str">
        <f>HYPERLINK("https://docs.wto.org/imrd/directdoc.asp?DDFDocuments/t/G/TBTN16/EU349.DOC")</f>
        <v>https://docs.wto.org/imrd/directdoc.asp?DDFDocuments/t/G/TBTN16/EU349.DOC</v>
      </c>
      <c r="K243" s="2" t="str">
        <f>HYPERLINK("https://docs.wto.org/imrd/directdoc.asp?DDFDocuments/u/G/TBTN16/EU349.DOC")</f>
        <v>https://docs.wto.org/imrd/directdoc.asp?DDFDocuments/u/G/TBTN16/EU349.DOC</v>
      </c>
      <c r="L243" s="2" t="str">
        <f>HYPERLINK("https://docs.wto.org/imrd/directdoc.asp?DDFDocuments/v/G/TBTN16/EU349.DOC")</f>
        <v>https://docs.wto.org/imrd/directdoc.asp?DDFDocuments/v/G/TBTN16/EU349.DOC</v>
      </c>
      <c r="M243" s="2" t="str">
        <f>HYPERLINK("http://www.epingalert.org/#/details/G/TBT/N/EU/349")</f>
        <v>http://www.epingalert.org/#/details/G/TBT/N/EU/349</v>
      </c>
      <c r="N243" s="2"/>
      <c r="O243" s="2" t="s">
        <v>8872</v>
      </c>
    </row>
    <row r="244" spans="1:15" ht="409.5" outlineLevel="1" x14ac:dyDescent="0.25">
      <c r="A244" s="2" t="s">
        <v>47</v>
      </c>
      <c r="B244" s="4" t="s">
        <v>404</v>
      </c>
      <c r="C244" s="2" t="s">
        <v>405</v>
      </c>
      <c r="D244" s="2" t="s">
        <v>406</v>
      </c>
      <c r="E244" s="3">
        <v>42410</v>
      </c>
      <c r="F244" s="2" t="s">
        <v>407</v>
      </c>
      <c r="G244" s="2" t="s">
        <v>408</v>
      </c>
      <c r="H244" s="2" t="s">
        <v>17</v>
      </c>
      <c r="I244" s="3">
        <v>42470</v>
      </c>
      <c r="J244" s="2" t="str">
        <f>HYPERLINK("https://docs.wto.org/imrd/directdoc.asp?DDFDocuments/t/G/TBTN16/ISR862.DOC")</f>
        <v>https://docs.wto.org/imrd/directdoc.asp?DDFDocuments/t/G/TBTN16/ISR862.DOC</v>
      </c>
      <c r="K244" s="2" t="str">
        <f>HYPERLINK("https://docs.wto.org/imrd/directdoc.asp?DDFDocuments/u/G/TBTN16/ISR862.DOC")</f>
        <v>https://docs.wto.org/imrd/directdoc.asp?DDFDocuments/u/G/TBTN16/ISR862.DOC</v>
      </c>
      <c r="L244" s="2" t="str">
        <f>HYPERLINK("https://docs.wto.org/imrd/directdoc.asp?DDFDocuments/v/G/TBTN16/ISR862.DOC")</f>
        <v>https://docs.wto.org/imrd/directdoc.asp?DDFDocuments/v/G/TBTN16/ISR862.DOC</v>
      </c>
      <c r="M244" s="2" t="str">
        <f>HYPERLINK("http://www.epingalert.org/#/details/G/TBT/N/ISR/862")</f>
        <v>http://www.epingalert.org/#/details/G/TBT/N/ISR/862</v>
      </c>
      <c r="N244" s="2"/>
      <c r="O244" s="2"/>
    </row>
    <row r="245" spans="1:15" ht="390" outlineLevel="1" x14ac:dyDescent="0.25">
      <c r="A245" s="2" t="s">
        <v>312</v>
      </c>
      <c r="B245" s="4" t="s">
        <v>414</v>
      </c>
      <c r="C245" s="2" t="s">
        <v>415</v>
      </c>
      <c r="D245" s="2" t="s">
        <v>416</v>
      </c>
      <c r="E245" s="3">
        <v>42408</v>
      </c>
      <c r="F245" s="2" t="s">
        <v>417</v>
      </c>
      <c r="G245" s="2" t="s">
        <v>418</v>
      </c>
      <c r="H245" s="2" t="s">
        <v>317</v>
      </c>
      <c r="I245" s="3">
        <v>42468</v>
      </c>
      <c r="J245" s="2" t="str">
        <f>HYPERLINK("https://docs.wto.org/imrd/directdoc.asp?DDFDocuments/t/G/TBTN16/UGA531.DOC")</f>
        <v>https://docs.wto.org/imrd/directdoc.asp?DDFDocuments/t/G/TBTN16/UGA531.DOC</v>
      </c>
      <c r="K245" s="2" t="str">
        <f>HYPERLINK("https://docs.wto.org/imrd/directdoc.asp?DDFDocuments/u/G/TBTN16/UGA531.DOC")</f>
        <v>https://docs.wto.org/imrd/directdoc.asp?DDFDocuments/u/G/TBTN16/UGA531.DOC</v>
      </c>
      <c r="L245" s="2" t="str">
        <f>HYPERLINK("https://docs.wto.org/imrd/directdoc.asp?DDFDocuments/v/G/TBTN16/UGA531.DOC")</f>
        <v>https://docs.wto.org/imrd/directdoc.asp?DDFDocuments/v/G/TBTN16/UGA531.DOC</v>
      </c>
      <c r="M245" s="2" t="str">
        <f>HYPERLINK("http://www.epingalert.org/#/details/G/TBT/N/UGA/531")</f>
        <v>http://www.epingalert.org/#/details/G/TBT/N/UGA/531</v>
      </c>
      <c r="N245" s="2"/>
      <c r="O245" s="2" t="s">
        <v>8873</v>
      </c>
    </row>
    <row r="246" spans="1:15" ht="120" outlineLevel="1" x14ac:dyDescent="0.25">
      <c r="A246" s="2" t="s">
        <v>25</v>
      </c>
      <c r="B246" s="4" t="s">
        <v>409</v>
      </c>
      <c r="C246" s="2" t="s">
        <v>410</v>
      </c>
      <c r="D246" s="2" t="s">
        <v>411</v>
      </c>
      <c r="E246" s="3">
        <v>42408</v>
      </c>
      <c r="F246" s="2" t="s">
        <v>412</v>
      </c>
      <c r="G246" s="2"/>
      <c r="H246" s="2" t="s">
        <v>413</v>
      </c>
      <c r="I246" s="2"/>
      <c r="J246" s="2" t="str">
        <f>HYPERLINK("https://docs.wto.org/imrd/directdoc.asp?DDFDocuments/t/G/TBTN16/KOR626.DOC")</f>
        <v>https://docs.wto.org/imrd/directdoc.asp?DDFDocuments/t/G/TBTN16/KOR626.DOC</v>
      </c>
      <c r="K246" s="2" t="str">
        <f>HYPERLINK("https://docs.wto.org/imrd/directdoc.asp?DDFDocuments/u/G/TBTN16/KOR626.DOC")</f>
        <v>https://docs.wto.org/imrd/directdoc.asp?DDFDocuments/u/G/TBTN16/KOR626.DOC</v>
      </c>
      <c r="L246" s="2" t="str">
        <f>HYPERLINK("https://docs.wto.org/imrd/directdoc.asp?DDFDocuments/v/G/TBTN16/KOR626.DOC")</f>
        <v>https://docs.wto.org/imrd/directdoc.asp?DDFDocuments/v/G/TBTN16/KOR626.DOC</v>
      </c>
      <c r="M246" s="2" t="str">
        <f>HYPERLINK("http://www.epingalert.org/#/details/G/TBT/N/KOR/626")</f>
        <v>http://www.epingalert.org/#/details/G/TBT/N/KOR/626</v>
      </c>
      <c r="N246" s="2"/>
      <c r="O246" s="2" t="s">
        <v>8878</v>
      </c>
    </row>
    <row r="247" spans="1:15" ht="75" outlineLevel="1" x14ac:dyDescent="0.25">
      <c r="A247" s="2" t="s">
        <v>173</v>
      </c>
      <c r="B247" s="4" t="s">
        <v>419</v>
      </c>
      <c r="C247" s="2" t="s">
        <v>420</v>
      </c>
      <c r="D247" s="2" t="s">
        <v>421</v>
      </c>
      <c r="E247" s="3">
        <v>42408</v>
      </c>
      <c r="F247" s="2" t="s">
        <v>422</v>
      </c>
      <c r="G247" s="2"/>
      <c r="H247" s="2" t="s">
        <v>17</v>
      </c>
      <c r="I247" s="2"/>
      <c r="J247" s="2" t="str">
        <f>HYPERLINK("https://docs.wto.org/imrd/directdoc.asp?DDFDocuments/t/G/TBTN16/SAU915.DOC")</f>
        <v>https://docs.wto.org/imrd/directdoc.asp?DDFDocuments/t/G/TBTN16/SAU915.DOC</v>
      </c>
      <c r="K247" s="2" t="str">
        <f>HYPERLINK("https://docs.wto.org/imrd/directdoc.asp?DDFDocuments/u/G/TBTN16/SAU915.DOC")</f>
        <v>https://docs.wto.org/imrd/directdoc.asp?DDFDocuments/u/G/TBTN16/SAU915.DOC</v>
      </c>
      <c r="L247" s="2" t="str">
        <f>HYPERLINK("https://docs.wto.org/imrd/directdoc.asp?DDFDocuments/v/G/TBTN16/SAU915.DOC")</f>
        <v>https://docs.wto.org/imrd/directdoc.asp?DDFDocuments/v/G/TBTN16/SAU915.DOC</v>
      </c>
      <c r="M247" s="2" t="str">
        <f>HYPERLINK("http://www.epingalert.org/#/details/G/TBT/N/SAU/915")</f>
        <v>http://www.epingalert.org/#/details/G/TBT/N/SAU/915</v>
      </c>
      <c r="N247" s="2"/>
      <c r="O247" s="2"/>
    </row>
    <row r="248" spans="1:15" ht="90" outlineLevel="1" x14ac:dyDescent="0.25">
      <c r="A248" s="2" t="s">
        <v>115</v>
      </c>
      <c r="B248" s="4" t="s">
        <v>423</v>
      </c>
      <c r="C248" s="2" t="s">
        <v>424</v>
      </c>
      <c r="D248" s="2" t="s">
        <v>425</v>
      </c>
      <c r="E248" s="3">
        <v>42404</v>
      </c>
      <c r="F248" s="2" t="s">
        <v>426</v>
      </c>
      <c r="G248" s="2"/>
      <c r="H248" s="2" t="s">
        <v>17</v>
      </c>
      <c r="I248" s="2"/>
      <c r="J248" s="2" t="str">
        <f>HYPERLINK("https://docs.wto.org/imrd/directdoc.asp?DDFDocuments/t/G/TBTN16/JPN515.DOC")</f>
        <v>https://docs.wto.org/imrd/directdoc.asp?DDFDocuments/t/G/TBTN16/JPN515.DOC</v>
      </c>
      <c r="K248" s="2" t="str">
        <f>HYPERLINK("https://docs.wto.org/imrd/directdoc.asp?DDFDocuments/u/G/TBTN16/JPN515.DOC")</f>
        <v>https://docs.wto.org/imrd/directdoc.asp?DDFDocuments/u/G/TBTN16/JPN515.DOC</v>
      </c>
      <c r="L248" s="2" t="str">
        <f>HYPERLINK("https://docs.wto.org/imrd/directdoc.asp?DDFDocuments/v/G/TBTN16/JPN515.DOC")</f>
        <v>https://docs.wto.org/imrd/directdoc.asp?DDFDocuments/v/G/TBTN16/JPN515.DOC</v>
      </c>
      <c r="M248" s="2" t="str">
        <f>HYPERLINK("http://www.epingalert.org/#/details/G/TBT/N/JPN/515")</f>
        <v>http://www.epingalert.org/#/details/G/TBT/N/JPN/515</v>
      </c>
      <c r="N248" s="2"/>
      <c r="O248" s="2"/>
    </row>
    <row r="249" spans="1:15" ht="409.5" outlineLevel="1" x14ac:dyDescent="0.25">
      <c r="A249" s="2" t="s">
        <v>185</v>
      </c>
      <c r="B249" s="4" t="s">
        <v>427</v>
      </c>
      <c r="C249" s="2" t="s">
        <v>428</v>
      </c>
      <c r="D249" s="2" t="s">
        <v>429</v>
      </c>
      <c r="E249" s="3">
        <v>42401</v>
      </c>
      <c r="F249" s="2" t="s">
        <v>430</v>
      </c>
      <c r="G249" s="2"/>
      <c r="H249" s="2" t="s">
        <v>198</v>
      </c>
      <c r="I249" s="3">
        <v>42461</v>
      </c>
      <c r="J249" s="2" t="str">
        <f>HYPERLINK("https://docs.wto.org/imrd/directdoc.asp?DDFDocuments/t/G/TBTN16/EGY115.DOC")</f>
        <v>https://docs.wto.org/imrd/directdoc.asp?DDFDocuments/t/G/TBTN16/EGY115.DOC</v>
      </c>
      <c r="K249" s="2" t="str">
        <f>HYPERLINK("https://docs.wto.org/imrd/directdoc.asp?DDFDocuments/u/G/TBTN16/EGY115.DOC")</f>
        <v>https://docs.wto.org/imrd/directdoc.asp?DDFDocuments/u/G/TBTN16/EGY115.DOC</v>
      </c>
      <c r="L249" s="2" t="str">
        <f>HYPERLINK("https://docs.wto.org/imrd/directdoc.asp?DDFDocuments/v/G/TBTN16/EGY115.DOC")</f>
        <v>https://docs.wto.org/imrd/directdoc.asp?DDFDocuments/v/G/TBTN16/EGY115.DOC</v>
      </c>
      <c r="M249" s="2" t="str">
        <f>HYPERLINK("http://www.epingalert.org/#/details/G/TBT/N/EGY/115")</f>
        <v>http://www.epingalert.org/#/details/G/TBT/N/EGY/115</v>
      </c>
      <c r="N249" s="2"/>
      <c r="O249" s="2"/>
    </row>
    <row r="250" spans="1:15" ht="409.5" outlineLevel="1" x14ac:dyDescent="0.25">
      <c r="A250" s="2" t="s">
        <v>185</v>
      </c>
      <c r="B250" s="4" t="s">
        <v>431</v>
      </c>
      <c r="C250" s="2" t="s">
        <v>432</v>
      </c>
      <c r="D250" s="2" t="s">
        <v>433</v>
      </c>
      <c r="E250" s="3">
        <v>42401</v>
      </c>
      <c r="F250" s="2" t="s">
        <v>434</v>
      </c>
      <c r="G250" s="2" t="s">
        <v>435</v>
      </c>
      <c r="H250" s="2" t="s">
        <v>198</v>
      </c>
      <c r="I250" s="3">
        <v>42461</v>
      </c>
      <c r="J250" s="2" t="str">
        <f>HYPERLINK("https://docs.wto.org/imrd/directdoc.asp?DDFDocuments/t/G/TBTN16/EGY114.DOC")</f>
        <v>https://docs.wto.org/imrd/directdoc.asp?DDFDocuments/t/G/TBTN16/EGY114.DOC</v>
      </c>
      <c r="K250" s="2" t="str">
        <f>HYPERLINK("https://docs.wto.org/imrd/directdoc.asp?DDFDocuments/u/G/TBTN16/EGY114.DOC")</f>
        <v>https://docs.wto.org/imrd/directdoc.asp?DDFDocuments/u/G/TBTN16/EGY114.DOC</v>
      </c>
      <c r="L250" s="2" t="str">
        <f>HYPERLINK("https://docs.wto.org/imrd/directdoc.asp?DDFDocuments/v/G/TBTN16/EGY114.DOC")</f>
        <v>https://docs.wto.org/imrd/directdoc.asp?DDFDocuments/v/G/TBTN16/EGY114.DOC</v>
      </c>
      <c r="M250" s="2" t="str">
        <f>HYPERLINK("http://www.epingalert.org/#/details/G/TBT/N/EGY/114")</f>
        <v>http://www.epingalert.org/#/details/G/TBT/N/EGY/114</v>
      </c>
      <c r="N250" s="2"/>
      <c r="O250" s="2"/>
    </row>
    <row r="251" spans="1:15" ht="409.5" outlineLevel="1" x14ac:dyDescent="0.25">
      <c r="A251" s="2" t="s">
        <v>31</v>
      </c>
      <c r="B251" s="4" t="s">
        <v>436</v>
      </c>
      <c r="C251" s="2" t="s">
        <v>437</v>
      </c>
      <c r="D251" s="2" t="s">
        <v>438</v>
      </c>
      <c r="E251" s="3">
        <v>42401</v>
      </c>
      <c r="F251" s="2" t="s">
        <v>439</v>
      </c>
      <c r="G251" s="2"/>
      <c r="H251" s="2" t="s">
        <v>24</v>
      </c>
      <c r="I251" s="3">
        <v>42461</v>
      </c>
      <c r="J251" s="2" t="str">
        <f>HYPERLINK("https://docs.wto.org/imrd/directdoc.asp?DDFDocuments/t/G/TBTN16/THA474.DOC")</f>
        <v>https://docs.wto.org/imrd/directdoc.asp?DDFDocuments/t/G/TBTN16/THA474.DOC</v>
      </c>
      <c r="K251" s="2" t="str">
        <f>HYPERLINK("https://docs.wto.org/imrd/directdoc.asp?DDFDocuments/u/G/TBTN16/THA474.DOC")</f>
        <v>https://docs.wto.org/imrd/directdoc.asp?DDFDocuments/u/G/TBTN16/THA474.DOC</v>
      </c>
      <c r="L251" s="2" t="str">
        <f>HYPERLINK("https://docs.wto.org/imrd/directdoc.asp?DDFDocuments/v/G/TBTN16/THA474.DOC")</f>
        <v>https://docs.wto.org/imrd/directdoc.asp?DDFDocuments/v/G/TBTN16/THA474.DOC</v>
      </c>
      <c r="M251" s="2" t="str">
        <f>HYPERLINK("http://www.epingalert.org/#/details/G/TBT/N/THA/474")</f>
        <v>http://www.epingalert.org/#/details/G/TBT/N/THA/474</v>
      </c>
      <c r="N251" s="2"/>
      <c r="O251" s="2"/>
    </row>
    <row r="252" spans="1:15" ht="409.5" outlineLevel="1" x14ac:dyDescent="0.25">
      <c r="A252" s="2" t="s">
        <v>31</v>
      </c>
      <c r="B252" s="4" t="s">
        <v>440</v>
      </c>
      <c r="C252" s="2" t="s">
        <v>441</v>
      </c>
      <c r="D252" s="2" t="s">
        <v>442</v>
      </c>
      <c r="E252" s="3">
        <v>42398</v>
      </c>
      <c r="F252" s="2" t="s">
        <v>443</v>
      </c>
      <c r="G252" s="2"/>
      <c r="H252" s="2" t="s">
        <v>24</v>
      </c>
      <c r="I252" s="3">
        <v>42458</v>
      </c>
      <c r="J252" s="2" t="str">
        <f>HYPERLINK("https://docs.wto.org/imrd/directdoc.asp?DDFDocuments/t/G/TBTN16/THA473.DOC")</f>
        <v>https://docs.wto.org/imrd/directdoc.asp?DDFDocuments/t/G/TBTN16/THA473.DOC</v>
      </c>
      <c r="K252" s="2" t="str">
        <f>HYPERLINK("https://docs.wto.org/imrd/directdoc.asp?DDFDocuments/u/G/TBTN16/THA473.DOC")</f>
        <v>https://docs.wto.org/imrd/directdoc.asp?DDFDocuments/u/G/TBTN16/THA473.DOC</v>
      </c>
      <c r="L252" s="2" t="str">
        <f>HYPERLINK("https://docs.wto.org/imrd/directdoc.asp?DDFDocuments/v/G/TBTN16/THA473.DOC")</f>
        <v>https://docs.wto.org/imrd/directdoc.asp?DDFDocuments/v/G/TBTN16/THA473.DOC</v>
      </c>
      <c r="M252" s="2" t="str">
        <f>HYPERLINK("http://www.epingalert.org/#/details/G/TBT/N/THA/473")</f>
        <v>http://www.epingalert.org/#/details/G/TBT/N/THA/473</v>
      </c>
      <c r="N252" s="2"/>
      <c r="O252" s="2"/>
    </row>
    <row r="253" spans="1:15" ht="60" outlineLevel="1" x14ac:dyDescent="0.25">
      <c r="A253" s="2" t="s">
        <v>444</v>
      </c>
      <c r="B253" s="4" t="s">
        <v>445</v>
      </c>
      <c r="C253" s="2" t="s">
        <v>446</v>
      </c>
      <c r="D253" s="2" t="s">
        <v>447</v>
      </c>
      <c r="E253" s="3">
        <v>42397</v>
      </c>
      <c r="F253" s="8" t="s">
        <v>448</v>
      </c>
      <c r="G253" s="2"/>
      <c r="H253" s="2" t="s">
        <v>17</v>
      </c>
      <c r="I253" s="3">
        <v>42457</v>
      </c>
      <c r="J253" s="2" t="str">
        <f>HYPERLINK("https://docs.wto.org/imrd/directdoc.asp?DDFDocuments/t/G/TBTN16/MYS65.DOC")</f>
        <v>https://docs.wto.org/imrd/directdoc.asp?DDFDocuments/t/G/TBTN16/MYS65.DOC</v>
      </c>
      <c r="K253" s="2" t="str">
        <f>HYPERLINK("https://docs.wto.org/imrd/directdoc.asp?DDFDocuments/u/G/TBTN16/MYS65.DOC")</f>
        <v>https://docs.wto.org/imrd/directdoc.asp?DDFDocuments/u/G/TBTN16/MYS65.DOC</v>
      </c>
      <c r="L253" s="2" t="str">
        <f>HYPERLINK("https://docs.wto.org/imrd/directdoc.asp?DDFDocuments/v/G/TBTN16/MYS65.DOC")</f>
        <v>https://docs.wto.org/imrd/directdoc.asp?DDFDocuments/v/G/TBTN16/MYS65.DOC</v>
      </c>
      <c r="M253" s="2" t="str">
        <f>HYPERLINK("http://www.epingalert.org/#/details/G/TBT/N/MYS/65")</f>
        <v>http://www.epingalert.org/#/details/G/TBT/N/MYS/65</v>
      </c>
      <c r="N253" s="2"/>
      <c r="O253" s="2"/>
    </row>
    <row r="254" spans="1:15" ht="120" outlineLevel="1" x14ac:dyDescent="0.25">
      <c r="A254" s="2" t="s">
        <v>144</v>
      </c>
      <c r="B254" s="4" t="s">
        <v>1499</v>
      </c>
      <c r="C254" s="2" t="s">
        <v>1500</v>
      </c>
      <c r="D254" s="2" t="s">
        <v>1501</v>
      </c>
      <c r="E254" s="3">
        <v>42397</v>
      </c>
      <c r="F254" s="2" t="s">
        <v>1502</v>
      </c>
      <c r="G254" s="2"/>
      <c r="H254" s="2" t="s">
        <v>30</v>
      </c>
      <c r="I254" s="3">
        <v>42457</v>
      </c>
      <c r="J254" s="2" t="str">
        <f>HYPERLINK("https://docs.wto.org/imrd/directdoc.asp?DDFDocuments/t/G/TBTN16/ARE301.DOC")</f>
        <v>https://docs.wto.org/imrd/directdoc.asp?DDFDocuments/t/G/TBTN16/ARE301.DOC</v>
      </c>
      <c r="K254" s="2" t="str">
        <f>HYPERLINK("https://docs.wto.org/imrd/directdoc.asp?DDFDocuments/u/G/TBTN16/ARE301.DOC")</f>
        <v>https://docs.wto.org/imrd/directdoc.asp?DDFDocuments/u/G/TBTN16/ARE301.DOC</v>
      </c>
      <c r="L254" s="2" t="str">
        <f>HYPERLINK("https://docs.wto.org/imrd/directdoc.asp?DDFDocuments/v/G/TBTN16/ARE301.DOC")</f>
        <v>https://docs.wto.org/imrd/directdoc.asp?DDFDocuments/v/G/TBTN16/ARE301.DOC</v>
      </c>
      <c r="M254" s="2" t="str">
        <f>HYPERLINK("http://www.epingalert.org/#/details/G/TBT/N/ARE/301#G/TBT/N/BHR/428#G/TBT/N/KWT/311#G/TBT/N/OMN/240#G/TBT/N/QAT/425#G/TBT/N/SAU/912#G/TBT/N/YEM/31")</f>
        <v>http://www.epingalert.org/#/details/G/TBT/N/ARE/301#G/TBT/N/BHR/428#G/TBT/N/KWT/311#G/TBT/N/OMN/240#G/TBT/N/QAT/425#G/TBT/N/SAU/912#G/TBT/N/YEM/31</v>
      </c>
      <c r="N254" s="2"/>
      <c r="O254" s="2"/>
    </row>
    <row r="255" spans="1:15" ht="120" outlineLevel="1" x14ac:dyDescent="0.25">
      <c r="A255" s="2" t="s">
        <v>180</v>
      </c>
      <c r="B255" s="4" t="s">
        <v>1499</v>
      </c>
      <c r="C255" s="2" t="s">
        <v>1503</v>
      </c>
      <c r="D255" s="2" t="s">
        <v>1501</v>
      </c>
      <c r="E255" s="3">
        <v>42397</v>
      </c>
      <c r="F255" s="2" t="s">
        <v>1502</v>
      </c>
      <c r="G255" s="2"/>
      <c r="H255" s="2" t="s">
        <v>30</v>
      </c>
      <c r="I255" s="3">
        <v>42457</v>
      </c>
      <c r="J255" s="2" t="str">
        <f>HYPERLINK("https://docs.wto.org/imrd/directdoc.asp?DDFDocuments/t/G/TBTN16/ARE301.DOC")</f>
        <v>https://docs.wto.org/imrd/directdoc.asp?DDFDocuments/t/G/TBTN16/ARE301.DOC</v>
      </c>
      <c r="K255" s="2" t="str">
        <f>HYPERLINK("https://docs.wto.org/imrd/directdoc.asp?DDFDocuments/u/G/TBTN16/ARE301.DOC")</f>
        <v>https://docs.wto.org/imrd/directdoc.asp?DDFDocuments/u/G/TBTN16/ARE301.DOC</v>
      </c>
      <c r="L255" s="2" t="str">
        <f>HYPERLINK("https://docs.wto.org/imrd/directdoc.asp?DDFDocuments/v/G/TBTN16/ARE301.DOC")</f>
        <v>https://docs.wto.org/imrd/directdoc.asp?DDFDocuments/v/G/TBTN16/ARE301.DOC</v>
      </c>
      <c r="M255" s="2" t="str">
        <f>HYPERLINK("http://www.epingalert.org/#/details/G/TBT/N/ARE/301#G/TBT/N/BHR/428#G/TBT/N/KWT/311#G/TBT/N/OMN/240#G/TBT/N/QAT/425#G/TBT/N/SAU/912#G/TBT/N/YEM/31")</f>
        <v>http://www.epingalert.org/#/details/G/TBT/N/ARE/301#G/TBT/N/BHR/428#G/TBT/N/KWT/311#G/TBT/N/OMN/240#G/TBT/N/QAT/425#G/TBT/N/SAU/912#G/TBT/N/YEM/31</v>
      </c>
      <c r="N255" s="2"/>
      <c r="O255" s="2"/>
    </row>
    <row r="256" spans="1:15" ht="120" outlineLevel="1" x14ac:dyDescent="0.25">
      <c r="A256" s="2" t="s">
        <v>184</v>
      </c>
      <c r="B256" s="4" t="s">
        <v>1499</v>
      </c>
      <c r="C256" s="2" t="s">
        <v>1500</v>
      </c>
      <c r="D256" s="2" t="s">
        <v>1501</v>
      </c>
      <c r="E256" s="3">
        <v>42397</v>
      </c>
      <c r="F256" s="2" t="s">
        <v>1502</v>
      </c>
      <c r="G256" s="2"/>
      <c r="H256" s="2" t="s">
        <v>30</v>
      </c>
      <c r="I256" s="3">
        <v>42457</v>
      </c>
      <c r="J256" s="2" t="str">
        <f>HYPERLINK("https://docs.wto.org/imrd/directdoc.asp?DDFDocuments/t/G/TBTN16/ARE301.DOC")</f>
        <v>https://docs.wto.org/imrd/directdoc.asp?DDFDocuments/t/G/TBTN16/ARE301.DOC</v>
      </c>
      <c r="K256" s="2" t="str">
        <f>HYPERLINK("https://docs.wto.org/imrd/directdoc.asp?DDFDocuments/u/G/TBTN16/ARE301.DOC")</f>
        <v>https://docs.wto.org/imrd/directdoc.asp?DDFDocuments/u/G/TBTN16/ARE301.DOC</v>
      </c>
      <c r="L256" s="2" t="str">
        <f>HYPERLINK("https://docs.wto.org/imrd/directdoc.asp?DDFDocuments/v/G/TBTN16/ARE301.DOC")</f>
        <v>https://docs.wto.org/imrd/directdoc.asp?DDFDocuments/v/G/TBTN16/ARE301.DOC</v>
      </c>
      <c r="M256" s="2" t="str">
        <f>HYPERLINK("http://www.epingalert.org/#/details/G/TBT/N/ARE/301#G/TBT/N/BHR/428#G/TBT/N/KWT/311#G/TBT/N/OMN/240#G/TBT/N/QAT/425#G/TBT/N/SAU/912#G/TBT/N/YEM/31")</f>
        <v>http://www.epingalert.org/#/details/G/TBT/N/ARE/301#G/TBT/N/BHR/428#G/TBT/N/KWT/311#G/TBT/N/OMN/240#G/TBT/N/QAT/425#G/TBT/N/SAU/912#G/TBT/N/YEM/31</v>
      </c>
      <c r="N256" s="2"/>
      <c r="O256" s="2"/>
    </row>
    <row r="257" spans="1:15" ht="120" outlineLevel="1" x14ac:dyDescent="0.25">
      <c r="A257" s="2" t="s">
        <v>173</v>
      </c>
      <c r="B257" s="4" t="s">
        <v>1499</v>
      </c>
      <c r="C257" s="2" t="s">
        <v>1503</v>
      </c>
      <c r="D257" s="2" t="s">
        <v>1501</v>
      </c>
      <c r="E257" s="3">
        <v>42397</v>
      </c>
      <c r="F257" s="2" t="s">
        <v>1502</v>
      </c>
      <c r="G257" s="2"/>
      <c r="H257" s="2" t="s">
        <v>30</v>
      </c>
      <c r="I257" s="3">
        <v>42457</v>
      </c>
      <c r="J257" s="2" t="str">
        <f>HYPERLINK("https://docs.wto.org/imrd/directdoc.asp?DDFDocuments/t/G/TBTN16/ARE301.DOC")</f>
        <v>https://docs.wto.org/imrd/directdoc.asp?DDFDocuments/t/G/TBTN16/ARE301.DOC</v>
      </c>
      <c r="K257" s="2" t="str">
        <f>HYPERLINK("https://docs.wto.org/imrd/directdoc.asp?DDFDocuments/u/G/TBTN16/ARE301.DOC")</f>
        <v>https://docs.wto.org/imrd/directdoc.asp?DDFDocuments/u/G/TBTN16/ARE301.DOC</v>
      </c>
      <c r="L257" s="2" t="str">
        <f>HYPERLINK("https://docs.wto.org/imrd/directdoc.asp?DDFDocuments/v/G/TBTN16/ARE301.DOC")</f>
        <v>https://docs.wto.org/imrd/directdoc.asp?DDFDocuments/v/G/TBTN16/ARE301.DOC</v>
      </c>
      <c r="M257" s="2" t="str">
        <f>HYPERLINK("http://www.epingalert.org/#/details/G/TBT/N/ARE/301#G/TBT/N/BHR/428#G/TBT/N/KWT/311#G/TBT/N/OMN/240#G/TBT/N/QAT/425#G/TBT/N/SAU/912#G/TBT/N/YEM/31")</f>
        <v>http://www.epingalert.org/#/details/G/TBT/N/ARE/301#G/TBT/N/BHR/428#G/TBT/N/KWT/311#G/TBT/N/OMN/240#G/TBT/N/QAT/425#G/TBT/N/SAU/912#G/TBT/N/YEM/31</v>
      </c>
      <c r="N257" s="2"/>
      <c r="O257" s="2"/>
    </row>
    <row r="258" spans="1:15" ht="120" outlineLevel="1" x14ac:dyDescent="0.25">
      <c r="A258" s="2" t="s">
        <v>178</v>
      </c>
      <c r="B258" s="4" t="s">
        <v>1499</v>
      </c>
      <c r="C258" s="2" t="s">
        <v>1500</v>
      </c>
      <c r="D258" s="2" t="s">
        <v>1501</v>
      </c>
      <c r="E258" s="3">
        <v>42397</v>
      </c>
      <c r="F258" s="2" t="s">
        <v>1502</v>
      </c>
      <c r="G258" s="2"/>
      <c r="H258" s="2" t="s">
        <v>24</v>
      </c>
      <c r="I258" s="3">
        <v>42457</v>
      </c>
      <c r="J258" s="2" t="str">
        <f>HYPERLINK("https://docs.wto.org/imrd/directdoc.asp?DDFDocuments/t/G/TBTN16/ARE301.DOC")</f>
        <v>https://docs.wto.org/imrd/directdoc.asp?DDFDocuments/t/G/TBTN16/ARE301.DOC</v>
      </c>
      <c r="K258" s="2" t="str">
        <f>HYPERLINK("https://docs.wto.org/imrd/directdoc.asp?DDFDocuments/u/G/TBTN16/ARE301.DOC")</f>
        <v>https://docs.wto.org/imrd/directdoc.asp?DDFDocuments/u/G/TBTN16/ARE301.DOC</v>
      </c>
      <c r="L258" s="2" t="str">
        <f>HYPERLINK("https://docs.wto.org/imrd/directdoc.asp?DDFDocuments/v/G/TBTN16/ARE301.DOC")</f>
        <v>https://docs.wto.org/imrd/directdoc.asp?DDFDocuments/v/G/TBTN16/ARE301.DOC</v>
      </c>
      <c r="M258" s="2" t="str">
        <f>HYPERLINK("http://www.epingalert.org/#/details/G/TBT/N/ARE/301#G/TBT/N/BHR/428#G/TBT/N/KWT/311#G/TBT/N/OMN/240#G/TBT/N/QAT/425#G/TBT/N/SAU/912#G/TBT/N/YEM/31")</f>
        <v>http://www.epingalert.org/#/details/G/TBT/N/ARE/301#G/TBT/N/BHR/428#G/TBT/N/KWT/311#G/TBT/N/OMN/240#G/TBT/N/QAT/425#G/TBT/N/SAU/912#G/TBT/N/YEM/31</v>
      </c>
      <c r="N258" s="2"/>
      <c r="O258" s="2" t="s">
        <v>8877</v>
      </c>
    </row>
    <row r="259" spans="1:15" ht="285" outlineLevel="1" x14ac:dyDescent="0.25">
      <c r="A259" s="2" t="s">
        <v>37</v>
      </c>
      <c r="B259" s="4" t="s">
        <v>1504</v>
      </c>
      <c r="C259" s="2" t="s">
        <v>1505</v>
      </c>
      <c r="D259" s="2" t="s">
        <v>1506</v>
      </c>
      <c r="E259" s="3">
        <v>42397</v>
      </c>
      <c r="F259" s="2" t="s">
        <v>1507</v>
      </c>
      <c r="G259" s="2"/>
      <c r="H259" s="2" t="s">
        <v>17</v>
      </c>
      <c r="I259" s="2"/>
      <c r="J259" s="2" t="str">
        <f>HYPERLINK("https://docs.wto.org/imrd/directdoc.asp?DDFDocuments/t/G/TBTN16/TUR75.DOC")</f>
        <v>https://docs.wto.org/imrd/directdoc.asp?DDFDocuments/t/G/TBTN16/TUR75.DOC</v>
      </c>
      <c r="K259" s="2" t="str">
        <f>HYPERLINK("https://docs.wto.org/imrd/directdoc.asp?DDFDocuments/u/G/TBTN16/TUR75.DOC")</f>
        <v>https://docs.wto.org/imrd/directdoc.asp?DDFDocuments/u/G/TBTN16/TUR75.DOC</v>
      </c>
      <c r="L259" s="2" t="str">
        <f>HYPERLINK("https://docs.wto.org/imrd/directdoc.asp?DDFDocuments/v/G/TBTN16/TUR75.DOC")</f>
        <v>https://docs.wto.org/imrd/directdoc.asp?DDFDocuments/v/G/TBTN16/TUR75.DOC</v>
      </c>
      <c r="M259" s="2" t="str">
        <f>HYPERLINK("http://www.epingalert.org/#/details/G/TBT/N/TUR/75")</f>
        <v>http://www.epingalert.org/#/details/G/TBT/N/TUR/75</v>
      </c>
      <c r="N259" s="2"/>
      <c r="O259" s="2"/>
    </row>
    <row r="260" spans="1:15" ht="225" outlineLevel="1" x14ac:dyDescent="0.25">
      <c r="A260" s="2" t="s">
        <v>12</v>
      </c>
      <c r="B260" s="4" t="s">
        <v>449</v>
      </c>
      <c r="C260" s="2" t="s">
        <v>450</v>
      </c>
      <c r="D260" s="2" t="s">
        <v>451</v>
      </c>
      <c r="E260" s="3">
        <v>42396</v>
      </c>
      <c r="F260" s="2" t="s">
        <v>452</v>
      </c>
      <c r="G260" s="2"/>
      <c r="H260" s="2"/>
      <c r="I260" s="3">
        <v>42456</v>
      </c>
      <c r="J260" s="2" t="str">
        <f>HYPERLINK("https://docs.wto.org/imrd/directdoc.asp?DDFDocuments/t/G/TBTN16/EU345.DOC")</f>
        <v>https://docs.wto.org/imrd/directdoc.asp?DDFDocuments/t/G/TBTN16/EU345.DOC</v>
      </c>
      <c r="K260" s="2" t="str">
        <f>HYPERLINK("https://docs.wto.org/imrd/directdoc.asp?DDFDocuments/u/G/TBTN16/EU345.DOC")</f>
        <v>https://docs.wto.org/imrd/directdoc.asp?DDFDocuments/u/G/TBTN16/EU345.DOC</v>
      </c>
      <c r="L260" s="2" t="str">
        <f>HYPERLINK("https://docs.wto.org/imrd/directdoc.asp?DDFDocuments/v/G/TBTN16/EU345.DOC")</f>
        <v>https://docs.wto.org/imrd/directdoc.asp?DDFDocuments/v/G/TBTN16/EU345.DOC</v>
      </c>
      <c r="M260" s="2" t="str">
        <f>HYPERLINK("http://www.epingalert.org/#/details/G/TBT/N/EU/345")</f>
        <v>http://www.epingalert.org/#/details/G/TBT/N/EU/345</v>
      </c>
      <c r="N260" s="2"/>
      <c r="O260" s="2"/>
    </row>
    <row r="261" spans="1:15" ht="135" outlineLevel="1" x14ac:dyDescent="0.25">
      <c r="A261" s="2" t="s">
        <v>12</v>
      </c>
      <c r="B261" s="4" t="s">
        <v>453</v>
      </c>
      <c r="C261" s="2" t="s">
        <v>454</v>
      </c>
      <c r="D261" s="2" t="s">
        <v>455</v>
      </c>
      <c r="E261" s="3">
        <v>42396</v>
      </c>
      <c r="F261" s="2" t="s">
        <v>86</v>
      </c>
      <c r="G261" s="2"/>
      <c r="H261" s="2" t="s">
        <v>17</v>
      </c>
      <c r="I261" s="3">
        <v>42456</v>
      </c>
      <c r="J261" s="2" t="str">
        <f>HYPERLINK("https://docs.wto.org/imrd/directdoc.asp?DDFDocuments/t/G/TBTN16/EU340.DOC")</f>
        <v>https://docs.wto.org/imrd/directdoc.asp?DDFDocuments/t/G/TBTN16/EU340.DOC</v>
      </c>
      <c r="K261" s="2" t="str">
        <f>HYPERLINK("https://docs.wto.org/imrd/directdoc.asp?DDFDocuments/u/G/TBTN16/EU340.DOC")</f>
        <v>https://docs.wto.org/imrd/directdoc.asp?DDFDocuments/u/G/TBTN16/EU340.DOC</v>
      </c>
      <c r="L261" s="2" t="str">
        <f>HYPERLINK("https://docs.wto.org/imrd/directdoc.asp?DDFDocuments/v/G/TBTN16/EU340.DOC")</f>
        <v>https://docs.wto.org/imrd/directdoc.asp?DDFDocuments/v/G/TBTN16/EU340.DOC</v>
      </c>
      <c r="M261" s="2" t="str">
        <f>HYPERLINK("http://www.epingalert.org/#/details/G/TBT/N/EU/340")</f>
        <v>http://www.epingalert.org/#/details/G/TBT/N/EU/340</v>
      </c>
      <c r="N261" s="2"/>
      <c r="O261" s="2"/>
    </row>
    <row r="262" spans="1:15" ht="105" outlineLevel="1" x14ac:dyDescent="0.25">
      <c r="A262" s="2" t="s">
        <v>47</v>
      </c>
      <c r="B262" s="4" t="s">
        <v>2134</v>
      </c>
      <c r="C262" s="2" t="s">
        <v>2135</v>
      </c>
      <c r="D262" s="2" t="s">
        <v>2136</v>
      </c>
      <c r="E262" s="3">
        <v>42395</v>
      </c>
      <c r="F262" s="2" t="s">
        <v>2137</v>
      </c>
      <c r="G262" s="2" t="s">
        <v>2138</v>
      </c>
      <c r="H262" s="2"/>
      <c r="I262" s="3">
        <v>42455</v>
      </c>
      <c r="J262" s="2" t="str">
        <f>HYPERLINK("https://docs.wto.org/imrd/directdoc.asp?DDFDocuments/t/G/TBTN16/ISR844.DOC")</f>
        <v>https://docs.wto.org/imrd/directdoc.asp?DDFDocuments/t/G/TBTN16/ISR844.DOC</v>
      </c>
      <c r="K262" s="2" t="str">
        <f>HYPERLINK("https://docs.wto.org/imrd/directdoc.asp?DDFDocuments/u/G/TBTN16/ISR844.DOC")</f>
        <v>https://docs.wto.org/imrd/directdoc.asp?DDFDocuments/u/G/TBTN16/ISR844.DOC</v>
      </c>
      <c r="L262" s="2" t="str">
        <f>HYPERLINK("https://docs.wto.org/imrd/directdoc.asp?DDFDocuments/v/G/TBTN16/ISR844.DOC")</f>
        <v>https://docs.wto.org/imrd/directdoc.asp?DDFDocuments/v/G/TBTN16/ISR844.DOC</v>
      </c>
      <c r="M262" s="2" t="str">
        <f>HYPERLINK("http://www.epingalert.org/#/details/G/TBT/N/ISR/844")</f>
        <v>http://www.epingalert.org/#/details/G/TBT/N/ISR/844</v>
      </c>
      <c r="N262" s="2"/>
      <c r="O262" s="2"/>
    </row>
    <row r="263" spans="1:15" ht="60" outlineLevel="1" x14ac:dyDescent="0.25">
      <c r="A263" s="2" t="s">
        <v>47</v>
      </c>
      <c r="B263" s="4" t="s">
        <v>2139</v>
      </c>
      <c r="C263" s="2" t="s">
        <v>2140</v>
      </c>
      <c r="D263" s="2" t="s">
        <v>2141</v>
      </c>
      <c r="E263" s="3">
        <v>42395</v>
      </c>
      <c r="F263" s="2" t="s">
        <v>2142</v>
      </c>
      <c r="G263" s="2" t="s">
        <v>2143</v>
      </c>
      <c r="H263" s="2"/>
      <c r="I263" s="3">
        <v>42455</v>
      </c>
      <c r="J263" s="2" t="str">
        <f>HYPERLINK("https://docs.wto.org/imrd/directdoc.asp?DDFDocuments/t/G/TBTN16/ISR843.DOC")</f>
        <v>https://docs.wto.org/imrd/directdoc.asp?DDFDocuments/t/G/TBTN16/ISR843.DOC</v>
      </c>
      <c r="K263" s="2" t="str">
        <f>HYPERLINK("https://docs.wto.org/imrd/directdoc.asp?DDFDocuments/u/G/TBTN16/ISR843.DOC")</f>
        <v>https://docs.wto.org/imrd/directdoc.asp?DDFDocuments/u/G/TBTN16/ISR843.DOC</v>
      </c>
      <c r="L263" s="2" t="str">
        <f>HYPERLINK("https://docs.wto.org/imrd/directdoc.asp?DDFDocuments/v/G/TBTN16/ISR843.DOC")</f>
        <v>https://docs.wto.org/imrd/directdoc.asp?DDFDocuments/v/G/TBTN16/ISR843.DOC</v>
      </c>
      <c r="M263" s="2" t="str">
        <f>HYPERLINK("http://www.epingalert.org/#/details/G/TBT/N/ISR/843")</f>
        <v>http://www.epingalert.org/#/details/G/TBT/N/ISR/843</v>
      </c>
      <c r="N263" s="2"/>
      <c r="O263" s="2"/>
    </row>
    <row r="264" spans="1:15" ht="60" outlineLevel="1" x14ac:dyDescent="0.25">
      <c r="A264" s="2" t="s">
        <v>1488</v>
      </c>
      <c r="B264" s="4" t="s">
        <v>2144</v>
      </c>
      <c r="C264" s="2"/>
      <c r="D264" s="2"/>
      <c r="E264" s="3">
        <v>42394</v>
      </c>
      <c r="F264" s="2" t="s">
        <v>2145</v>
      </c>
      <c r="G264" s="2" t="s">
        <v>2146</v>
      </c>
      <c r="H264" s="2" t="s">
        <v>413</v>
      </c>
      <c r="I264" s="3">
        <v>42454</v>
      </c>
      <c r="J264" s="2" t="str">
        <f>HYPERLINK("https://docs.wto.org/imrd/directdoc.asp?DDFDocuments/t/G/TBTN16/MEX298.DOC")</f>
        <v>https://docs.wto.org/imrd/directdoc.asp?DDFDocuments/t/G/TBTN16/MEX298.DOC</v>
      </c>
      <c r="K264" s="2" t="str">
        <f>HYPERLINK("https://docs.wto.org/imrd/directdoc.asp?DDFDocuments/u/G/TBTN16/MEX298.DOC")</f>
        <v>https://docs.wto.org/imrd/directdoc.asp?DDFDocuments/u/G/TBTN16/MEX298.DOC</v>
      </c>
      <c r="L264" s="2" t="str">
        <f>HYPERLINK("https://docs.wto.org/imrd/directdoc.asp?DDFDocuments/v/G/TBTN16/MEX298.DOC")</f>
        <v>https://docs.wto.org/imrd/directdoc.asp?DDFDocuments/v/G/TBTN16/MEX298.DOC</v>
      </c>
      <c r="M264" s="2" t="str">
        <f>HYPERLINK("http://www.epingalert.org/#/details/G/TBT/N/MEX/298")</f>
        <v>http://www.epingalert.org/#/details/G/TBT/N/MEX/298</v>
      </c>
      <c r="N264" s="2"/>
      <c r="O264" s="2"/>
    </row>
    <row r="265" spans="1:15" ht="165" outlineLevel="1" x14ac:dyDescent="0.25">
      <c r="A265" s="2" t="s">
        <v>37</v>
      </c>
      <c r="B265" s="4" t="s">
        <v>456</v>
      </c>
      <c r="C265" s="2" t="s">
        <v>457</v>
      </c>
      <c r="D265" s="2" t="s">
        <v>458</v>
      </c>
      <c r="E265" s="3">
        <v>42391</v>
      </c>
      <c r="F265" s="2" t="s">
        <v>459</v>
      </c>
      <c r="G265" s="2"/>
      <c r="H265" s="2" t="s">
        <v>17</v>
      </c>
      <c r="I265" s="3">
        <v>42444</v>
      </c>
      <c r="J265" s="2" t="str">
        <f>HYPERLINK("https://docs.wto.org/imrd/directdoc.asp?DDFDocuments/t/G/TBTN16/TUR74.DOC")</f>
        <v>https://docs.wto.org/imrd/directdoc.asp?DDFDocuments/t/G/TBTN16/TUR74.DOC</v>
      </c>
      <c r="K265" s="2" t="str">
        <f>HYPERLINK("https://docs.wto.org/imrd/directdoc.asp?DDFDocuments/u/G/TBTN16/TUR74.DOC")</f>
        <v>https://docs.wto.org/imrd/directdoc.asp?DDFDocuments/u/G/TBTN16/TUR74.DOC</v>
      </c>
      <c r="L265" s="2" t="str">
        <f>HYPERLINK("https://docs.wto.org/imrd/directdoc.asp?DDFDocuments/v/G/TBTN16/TUR74.DOC")</f>
        <v>https://docs.wto.org/imrd/directdoc.asp?DDFDocuments/v/G/TBTN16/TUR74.DOC</v>
      </c>
      <c r="M265" s="2" t="str">
        <f>HYPERLINK("http://www.epingalert.org/#/details/G/TBT/N/TUR/74")</f>
        <v>http://www.epingalert.org/#/details/G/TBT/N/TUR/74</v>
      </c>
      <c r="N265" s="2"/>
      <c r="O265" s="2"/>
    </row>
    <row r="266" spans="1:15" ht="180" outlineLevel="1" x14ac:dyDescent="0.25">
      <c r="A266" s="2" t="s">
        <v>25</v>
      </c>
      <c r="B266" s="4" t="s">
        <v>460</v>
      </c>
      <c r="C266" s="2" t="s">
        <v>461</v>
      </c>
      <c r="D266" s="2" t="s">
        <v>462</v>
      </c>
      <c r="E266" s="3">
        <v>42389</v>
      </c>
      <c r="F266" s="2" t="s">
        <v>46</v>
      </c>
      <c r="G266" s="2"/>
      <c r="H266" s="2" t="s">
        <v>17</v>
      </c>
      <c r="I266" s="3">
        <v>42449</v>
      </c>
      <c r="J266" s="2" t="str">
        <f>HYPERLINK("https://docs.wto.org/imrd/directdoc.asp?DDFDocuments/t/G/TBTN16/KOR623.DOC")</f>
        <v>https://docs.wto.org/imrd/directdoc.asp?DDFDocuments/t/G/TBTN16/KOR623.DOC</v>
      </c>
      <c r="K266" s="2" t="str">
        <f>HYPERLINK("https://docs.wto.org/imrd/directdoc.asp?DDFDocuments/u/G/TBTN16/KOR623.DOC")</f>
        <v>https://docs.wto.org/imrd/directdoc.asp?DDFDocuments/u/G/TBTN16/KOR623.DOC</v>
      </c>
      <c r="L266" s="2" t="str">
        <f>HYPERLINK("https://docs.wto.org/imrd/directdoc.asp?DDFDocuments/v/G/TBTN16/KOR623.DOC")</f>
        <v>https://docs.wto.org/imrd/directdoc.asp?DDFDocuments/v/G/TBTN16/KOR623.DOC</v>
      </c>
      <c r="M266" s="2" t="str">
        <f>HYPERLINK("http://www.epingalert.org/#/details/G/TBT/N/KOR/623")</f>
        <v>http://www.epingalert.org/#/details/G/TBT/N/KOR/623</v>
      </c>
      <c r="N266" s="2"/>
      <c r="O266" s="2"/>
    </row>
    <row r="267" spans="1:15" ht="285" outlineLevel="1" x14ac:dyDescent="0.25">
      <c r="A267" s="2" t="s">
        <v>25</v>
      </c>
      <c r="B267" s="4" t="s">
        <v>463</v>
      </c>
      <c r="C267" s="2" t="s">
        <v>464</v>
      </c>
      <c r="D267" s="2" t="s">
        <v>465</v>
      </c>
      <c r="E267" s="3">
        <v>42389</v>
      </c>
      <c r="F267" s="2" t="s">
        <v>221</v>
      </c>
      <c r="G267" s="2"/>
      <c r="H267" s="2"/>
      <c r="I267" s="3">
        <v>42449</v>
      </c>
      <c r="J267" s="2" t="str">
        <f>HYPERLINK("https://docs.wto.org/imrd/directdoc.asp?DDFDocuments/t/G/TBTN16/KOR622.DOC")</f>
        <v>https://docs.wto.org/imrd/directdoc.asp?DDFDocuments/t/G/TBTN16/KOR622.DOC</v>
      </c>
      <c r="K267" s="2" t="str">
        <f>HYPERLINK("https://docs.wto.org/imrd/directdoc.asp?DDFDocuments/u/G/TBTN16/KOR622.DOC")</f>
        <v>https://docs.wto.org/imrd/directdoc.asp?DDFDocuments/u/G/TBTN16/KOR622.DOC</v>
      </c>
      <c r="L267" s="2" t="str">
        <f>HYPERLINK("https://docs.wto.org/imrd/directdoc.asp?DDFDocuments/v/G/TBTN16/KOR622.DOC")</f>
        <v>https://docs.wto.org/imrd/directdoc.asp?DDFDocuments/v/G/TBTN16/KOR622.DOC</v>
      </c>
      <c r="M267" s="2" t="str">
        <f>HYPERLINK("http://www.epingalert.org/#/details/G/TBT/N/KOR/622")</f>
        <v>http://www.epingalert.org/#/details/G/TBT/N/KOR/622</v>
      </c>
      <c r="N267" s="2"/>
      <c r="O267" s="2"/>
    </row>
    <row r="268" spans="1:15" ht="270" outlineLevel="1" x14ac:dyDescent="0.25">
      <c r="A268" s="2" t="s">
        <v>25</v>
      </c>
      <c r="B268" s="4" t="s">
        <v>466</v>
      </c>
      <c r="C268" s="2" t="s">
        <v>467</v>
      </c>
      <c r="D268" s="2" t="s">
        <v>468</v>
      </c>
      <c r="E268" s="3">
        <v>42389</v>
      </c>
      <c r="F268" s="2" t="s">
        <v>221</v>
      </c>
      <c r="G268" s="2"/>
      <c r="H268" s="2"/>
      <c r="I268" s="3">
        <v>42449</v>
      </c>
      <c r="J268" s="2" t="str">
        <f>HYPERLINK("https://docs.wto.org/imrd/directdoc.asp?DDFDocuments/t/G/TBTN16/KOR621.DOC")</f>
        <v>https://docs.wto.org/imrd/directdoc.asp?DDFDocuments/t/G/TBTN16/KOR621.DOC</v>
      </c>
      <c r="K268" s="2" t="str">
        <f>HYPERLINK("https://docs.wto.org/imrd/directdoc.asp?DDFDocuments/u/G/TBTN16/KOR621.DOC")</f>
        <v>https://docs.wto.org/imrd/directdoc.asp?DDFDocuments/u/G/TBTN16/KOR621.DOC</v>
      </c>
      <c r="L268" s="2" t="str">
        <f>HYPERLINK("https://docs.wto.org/imrd/directdoc.asp?DDFDocuments/v/G/TBTN16/KOR621.DOC")</f>
        <v>https://docs.wto.org/imrd/directdoc.asp?DDFDocuments/v/G/TBTN16/KOR621.DOC</v>
      </c>
      <c r="M268" s="2" t="str">
        <f>HYPERLINK("http://www.epingalert.org/#/details/G/TBT/N/KOR/621")</f>
        <v>http://www.epingalert.org/#/details/G/TBT/N/KOR/621</v>
      </c>
      <c r="N268" s="2"/>
      <c r="O268" s="2"/>
    </row>
    <row r="269" spans="1:15" ht="135" outlineLevel="1" x14ac:dyDescent="0.25">
      <c r="A269" s="2" t="s">
        <v>12</v>
      </c>
      <c r="B269" s="4" t="s">
        <v>469</v>
      </c>
      <c r="C269" s="2" t="s">
        <v>470</v>
      </c>
      <c r="D269" s="2" t="s">
        <v>15</v>
      </c>
      <c r="E269" s="3">
        <v>42387</v>
      </c>
      <c r="F269" s="2" t="s">
        <v>86</v>
      </c>
      <c r="G269" s="2"/>
      <c r="H269" s="2" t="s">
        <v>413</v>
      </c>
      <c r="I269" s="3">
        <v>42447</v>
      </c>
      <c r="J269" s="2" t="str">
        <f>HYPERLINK("https://docs.wto.org/imrd/directdoc.asp?DDFDocuments/t/G/TBTN16/EU339.DOC")</f>
        <v>https://docs.wto.org/imrd/directdoc.asp?DDFDocuments/t/G/TBTN16/EU339.DOC</v>
      </c>
      <c r="K269" s="2" t="str">
        <f>HYPERLINK("https://docs.wto.org/imrd/directdoc.asp?DDFDocuments/u/G/TBTN16/EU339.DOC")</f>
        <v>https://docs.wto.org/imrd/directdoc.asp?DDFDocuments/u/G/TBTN16/EU339.DOC</v>
      </c>
      <c r="L269" s="2" t="str">
        <f>HYPERLINK("https://docs.wto.org/imrd/directdoc.asp?DDFDocuments/v/G/TBTN16/EU339.DOC")</f>
        <v>https://docs.wto.org/imrd/directdoc.asp?DDFDocuments/v/G/TBTN16/EU339.DOC</v>
      </c>
      <c r="M269" s="2" t="str">
        <f>HYPERLINK("http://www.epingalert.org/#/details/G/TBT/N/EU/339")</f>
        <v>http://www.epingalert.org/#/details/G/TBT/N/EU/339</v>
      </c>
      <c r="N269" s="2"/>
      <c r="O269" s="2"/>
    </row>
    <row r="270" spans="1:15" ht="120" outlineLevel="1" x14ac:dyDescent="0.25">
      <c r="A270" s="2" t="s">
        <v>12</v>
      </c>
      <c r="B270" s="4" t="s">
        <v>471</v>
      </c>
      <c r="C270" s="2" t="s">
        <v>399</v>
      </c>
      <c r="D270" s="2" t="s">
        <v>400</v>
      </c>
      <c r="E270" s="3">
        <v>42387</v>
      </c>
      <c r="F270" s="2" t="s">
        <v>86</v>
      </c>
      <c r="G270" s="2"/>
      <c r="H270" s="2" t="s">
        <v>17</v>
      </c>
      <c r="I270" s="3">
        <v>42447</v>
      </c>
      <c r="J270" s="2" t="str">
        <f>HYPERLINK("https://docs.wto.org/imrd/directdoc.asp?DDFDocuments/t/G/TBTN16/EU338.DOC")</f>
        <v>https://docs.wto.org/imrd/directdoc.asp?DDFDocuments/t/G/TBTN16/EU338.DOC</v>
      </c>
      <c r="K270" s="2" t="str">
        <f>HYPERLINK("https://docs.wto.org/imrd/directdoc.asp?DDFDocuments/u/G/TBTN16/EU338.DOC")</f>
        <v>https://docs.wto.org/imrd/directdoc.asp?DDFDocuments/u/G/TBTN16/EU338.DOC</v>
      </c>
      <c r="L270" s="2" t="str">
        <f>HYPERLINK("https://docs.wto.org/imrd/directdoc.asp?DDFDocuments/v/G/TBTN16/EU338.DOC")</f>
        <v>https://docs.wto.org/imrd/directdoc.asp?DDFDocuments/v/G/TBTN16/EU338.DOC</v>
      </c>
      <c r="M270" s="2" t="str">
        <f>HYPERLINK("http://www.epingalert.org/#/details/G/TBT/N/EU/338")</f>
        <v>http://www.epingalert.org/#/details/G/TBT/N/EU/338</v>
      </c>
      <c r="N270" s="2"/>
      <c r="O270" s="2"/>
    </row>
    <row r="271" spans="1:15" ht="120" outlineLevel="1" x14ac:dyDescent="0.25">
      <c r="A271" s="2" t="s">
        <v>12</v>
      </c>
      <c r="B271" s="4" t="s">
        <v>472</v>
      </c>
      <c r="C271" s="2" t="s">
        <v>301</v>
      </c>
      <c r="D271" s="2" t="s">
        <v>302</v>
      </c>
      <c r="E271" s="3">
        <v>42387</v>
      </c>
      <c r="F271" s="2" t="s">
        <v>86</v>
      </c>
      <c r="G271" s="2"/>
      <c r="H271" s="2" t="s">
        <v>17</v>
      </c>
      <c r="I271" s="3">
        <v>42447</v>
      </c>
      <c r="J271" s="2" t="str">
        <f>HYPERLINK("https://docs.wto.org/imrd/directdoc.asp?DDFDocuments/t/G/TBTN16/EU337.DOC")</f>
        <v>https://docs.wto.org/imrd/directdoc.asp?DDFDocuments/t/G/TBTN16/EU337.DOC</v>
      </c>
      <c r="K271" s="2" t="str">
        <f>HYPERLINK("https://docs.wto.org/imrd/directdoc.asp?DDFDocuments/u/G/TBTN16/EU337.DOC")</f>
        <v>https://docs.wto.org/imrd/directdoc.asp?DDFDocuments/u/G/TBTN16/EU337.DOC</v>
      </c>
      <c r="L271" s="2" t="str">
        <f>HYPERLINK("https://docs.wto.org/imrd/directdoc.asp?DDFDocuments/v/G/TBTN16/EU337.DOC")</f>
        <v>https://docs.wto.org/imrd/directdoc.asp?DDFDocuments/v/G/TBTN16/EU337.DOC</v>
      </c>
      <c r="M271" s="2" t="str">
        <f>HYPERLINK("http://www.epingalert.org/#/details/G/TBT/N/EU/337")</f>
        <v>http://www.epingalert.org/#/details/G/TBT/N/EU/337</v>
      </c>
      <c r="N271" s="2"/>
      <c r="O271" s="2"/>
    </row>
    <row r="272" spans="1:15" ht="120" outlineLevel="1" x14ac:dyDescent="0.25">
      <c r="A272" s="2" t="s">
        <v>37</v>
      </c>
      <c r="B272" s="4" t="s">
        <v>473</v>
      </c>
      <c r="C272" s="2" t="s">
        <v>474</v>
      </c>
      <c r="D272" s="2" t="s">
        <v>475</v>
      </c>
      <c r="E272" s="3">
        <v>42382</v>
      </c>
      <c r="F272" s="2" t="s">
        <v>476</v>
      </c>
      <c r="G272" s="2"/>
      <c r="H272" s="2" t="s">
        <v>30</v>
      </c>
      <c r="I272" s="3">
        <v>42449</v>
      </c>
      <c r="J272" s="2" t="str">
        <f>HYPERLINK("https://docs.wto.org/imrd/directdoc.asp?DDFDocuments/t/G/TBTN16/TUR73.DOC")</f>
        <v>https://docs.wto.org/imrd/directdoc.asp?DDFDocuments/t/G/TBTN16/TUR73.DOC</v>
      </c>
      <c r="K272" s="2" t="str">
        <f>HYPERLINK("https://docs.wto.org/imrd/directdoc.asp?DDFDocuments/u/G/TBTN16/TUR73.DOC")</f>
        <v>https://docs.wto.org/imrd/directdoc.asp?DDFDocuments/u/G/TBTN16/TUR73.DOC</v>
      </c>
      <c r="L272" s="2" t="str">
        <f>HYPERLINK("https://docs.wto.org/imrd/directdoc.asp?DDFDocuments/v/G/TBTN16/TUR73.DOC")</f>
        <v>https://docs.wto.org/imrd/directdoc.asp?DDFDocuments/v/G/TBTN16/TUR73.DOC</v>
      </c>
      <c r="M272" s="2" t="str">
        <f>HYPERLINK("http://www.epingalert.org/#/details/G/TBT/N/TUR/73")</f>
        <v>http://www.epingalert.org/#/details/G/TBT/N/TUR/73</v>
      </c>
      <c r="N272" s="2"/>
      <c r="O272" s="2"/>
    </row>
    <row r="273" spans="1:15" ht="120" outlineLevel="1" x14ac:dyDescent="0.25">
      <c r="A273" s="2" t="s">
        <v>37</v>
      </c>
      <c r="B273" s="4" t="s">
        <v>477</v>
      </c>
      <c r="C273" s="2" t="s">
        <v>478</v>
      </c>
      <c r="D273" s="2" t="s">
        <v>479</v>
      </c>
      <c r="E273" s="3">
        <v>42382</v>
      </c>
      <c r="F273" s="2" t="s">
        <v>480</v>
      </c>
      <c r="G273" s="2"/>
      <c r="H273" s="2" t="s">
        <v>30</v>
      </c>
      <c r="I273" s="3">
        <v>42449</v>
      </c>
      <c r="J273" s="2" t="str">
        <f>HYPERLINK("https://docs.wto.org/imrd/directdoc.asp?DDFDocuments/t/G/TBTN16/TUR72.DOC")</f>
        <v>https://docs.wto.org/imrd/directdoc.asp?DDFDocuments/t/G/TBTN16/TUR72.DOC</v>
      </c>
      <c r="K273" s="2" t="str">
        <f>HYPERLINK("https://docs.wto.org/imrd/directdoc.asp?DDFDocuments/u/G/TBTN16/TUR72.DOC")</f>
        <v>https://docs.wto.org/imrd/directdoc.asp?DDFDocuments/u/G/TBTN16/TUR72.DOC</v>
      </c>
      <c r="L273" s="2" t="str">
        <f>HYPERLINK("https://docs.wto.org/imrd/directdoc.asp?DDFDocuments/v/G/TBTN16/TUR72.DOC")</f>
        <v>https://docs.wto.org/imrd/directdoc.asp?DDFDocuments/v/G/TBTN16/TUR72.DOC</v>
      </c>
      <c r="M273" s="2" t="str">
        <f>HYPERLINK("http://www.epingalert.org/#/details/G/TBT/N/TUR/72")</f>
        <v>http://www.epingalert.org/#/details/G/TBT/N/TUR/72</v>
      </c>
      <c r="N273" s="2"/>
      <c r="O273" s="2"/>
    </row>
    <row r="274" spans="1:15" ht="60" outlineLevel="1" x14ac:dyDescent="0.25">
      <c r="A274" s="2" t="s">
        <v>37</v>
      </c>
      <c r="B274" s="4" t="s">
        <v>1508</v>
      </c>
      <c r="C274" s="2" t="s">
        <v>1509</v>
      </c>
      <c r="D274" s="2" t="s">
        <v>1510</v>
      </c>
      <c r="E274" s="3">
        <v>42382</v>
      </c>
      <c r="F274" s="2" t="s">
        <v>1511</v>
      </c>
      <c r="G274" s="2" t="s">
        <v>1512</v>
      </c>
      <c r="H274" s="2"/>
      <c r="I274" s="3">
        <v>42449</v>
      </c>
      <c r="J274" s="2" t="str">
        <f>HYPERLINK("https://docs.wto.org/imrd/directdoc.asp?DDFDocuments/t/G/TBTN16/TUR71.DOC")</f>
        <v>https://docs.wto.org/imrd/directdoc.asp?DDFDocuments/t/G/TBTN16/TUR71.DOC</v>
      </c>
      <c r="K274" s="2" t="str">
        <f>HYPERLINK("https://docs.wto.org/imrd/directdoc.asp?DDFDocuments/u/G/TBTN16/TUR71.DOC")</f>
        <v>https://docs.wto.org/imrd/directdoc.asp?DDFDocuments/u/G/TBTN16/TUR71.DOC</v>
      </c>
      <c r="L274" s="2" t="str">
        <f>HYPERLINK("https://docs.wto.org/imrd/directdoc.asp?DDFDocuments/v/G/TBTN16/TUR71.DOC")</f>
        <v>https://docs.wto.org/imrd/directdoc.asp?DDFDocuments/v/G/TBTN16/TUR71.DOC</v>
      </c>
      <c r="M274" s="2" t="str">
        <f>HYPERLINK("http://www.epingalert.org/#/details/G/TBT/N/TUR/71")</f>
        <v>http://www.epingalert.org/#/details/G/TBT/N/TUR/71</v>
      </c>
      <c r="N274" s="2"/>
      <c r="O274" s="2"/>
    </row>
    <row r="275" spans="1:15" ht="120" outlineLevel="1" x14ac:dyDescent="0.25">
      <c r="A275" s="2" t="s">
        <v>178</v>
      </c>
      <c r="B275" s="4" t="s">
        <v>1513</v>
      </c>
      <c r="C275" s="2" t="s">
        <v>1514</v>
      </c>
      <c r="D275" s="2" t="s">
        <v>1501</v>
      </c>
      <c r="E275" s="3">
        <v>42382</v>
      </c>
      <c r="F275" s="2" t="s">
        <v>1502</v>
      </c>
      <c r="G275" s="2" t="s">
        <v>1515</v>
      </c>
      <c r="H275" s="2" t="s">
        <v>30</v>
      </c>
      <c r="I275" s="3">
        <v>42442</v>
      </c>
      <c r="J275" s="2" t="str">
        <f>HYPERLINK("https://docs.wto.org/imrd/directdoc.asp?DDFDocuments/t/G/TBTN16/ARE299.DOC")</f>
        <v>https://docs.wto.org/imrd/directdoc.asp?DDFDocuments/t/G/TBTN16/ARE299.DOC</v>
      </c>
      <c r="K275" s="2" t="str">
        <f>HYPERLINK("https://docs.wto.org/imrd/directdoc.asp?DDFDocuments/u/G/TBTN16/ARE299.DOC")</f>
        <v>https://docs.wto.org/imrd/directdoc.asp?DDFDocuments/u/G/TBTN16/ARE299.DOC</v>
      </c>
      <c r="L275" s="2" t="str">
        <f>HYPERLINK("https://docs.wto.org/imrd/directdoc.asp?DDFDocuments/v/G/TBTN16/ARE299.DOC")</f>
        <v>https://docs.wto.org/imrd/directdoc.asp?DDFDocuments/v/G/TBTN16/ARE299.DOC</v>
      </c>
      <c r="M275" s="2" t="str">
        <f>HYPERLINK("http://www.epingalert.org/#/details/G/TBT/N/ARE/299#G/TBT/N/BHR/426#G/TBT/N/KWT/309#G/TBT/N/OMN/238#G/TBT/N/QAT/423#G/TBT/N/SAU/910#G/TBT/N/YEM/29")</f>
        <v>http://www.epingalert.org/#/details/G/TBT/N/ARE/299#G/TBT/N/BHR/426#G/TBT/N/KWT/309#G/TBT/N/OMN/238#G/TBT/N/QAT/423#G/TBT/N/SAU/910#G/TBT/N/YEM/29</v>
      </c>
      <c r="N275" s="2"/>
      <c r="O275" s="2"/>
    </row>
    <row r="276" spans="1:15" ht="60" outlineLevel="1" x14ac:dyDescent="0.25">
      <c r="A276" s="2" t="s">
        <v>1516</v>
      </c>
      <c r="B276" s="4" t="s">
        <v>1517</v>
      </c>
      <c r="C276" s="2" t="s">
        <v>1518</v>
      </c>
      <c r="D276" s="2" t="s">
        <v>1519</v>
      </c>
      <c r="E276" s="3">
        <v>42377</v>
      </c>
      <c r="F276" s="2"/>
      <c r="G276" s="2" t="s">
        <v>1477</v>
      </c>
      <c r="H276" s="2" t="s">
        <v>17</v>
      </c>
      <c r="I276" s="3">
        <v>42437</v>
      </c>
      <c r="J276" s="2" t="str">
        <f>HYPERLINK("https://docs.wto.org/imrd/directdoc.asp?DDFDocuments/t/G/TBTN16/ZMB48.DOC")</f>
        <v>https://docs.wto.org/imrd/directdoc.asp?DDFDocuments/t/G/TBTN16/ZMB48.DOC</v>
      </c>
      <c r="K276" s="2" t="str">
        <f>HYPERLINK("https://docs.wto.org/imrd/directdoc.asp?DDFDocuments/u/G/TBTN16/ZMB48.DOC")</f>
        <v>https://docs.wto.org/imrd/directdoc.asp?DDFDocuments/u/G/TBTN16/ZMB48.DOC</v>
      </c>
      <c r="L276" s="2" t="str">
        <f>HYPERLINK("https://docs.wto.org/imrd/directdoc.asp?DDFDocuments/v/G/TBTN16/ZMB48.DOC")</f>
        <v>https://docs.wto.org/imrd/directdoc.asp?DDFDocuments/v/G/TBTN16/ZMB48.DOC</v>
      </c>
      <c r="M276" s="2" t="str">
        <f>HYPERLINK("http://www.epingalert.org/#/details/G/TBT/N/ZMB/48")</f>
        <v>http://www.epingalert.org/#/details/G/TBT/N/ZMB/48</v>
      </c>
      <c r="N276" s="2"/>
      <c r="O276" s="2"/>
    </row>
    <row r="277" spans="1:15" ht="300" outlineLevel="1" x14ac:dyDescent="0.25">
      <c r="A277" s="2" t="s">
        <v>1129</v>
      </c>
      <c r="B277" s="4" t="s">
        <v>2147</v>
      </c>
      <c r="C277" s="2" t="s">
        <v>2148</v>
      </c>
      <c r="D277" s="2" t="s">
        <v>2149</v>
      </c>
      <c r="E277" s="3">
        <v>42377</v>
      </c>
      <c r="F277" s="2"/>
      <c r="G277" s="2" t="s">
        <v>2150</v>
      </c>
      <c r="H277" s="2" t="s">
        <v>198</v>
      </c>
      <c r="I277" s="3">
        <v>42407</v>
      </c>
      <c r="J277" s="2" t="str">
        <f>HYPERLINK("https://docs.wto.org/imrd/directdoc.asp?DDFDocuments/t/G/TBTN16/KEN456.DOC")</f>
        <v>https://docs.wto.org/imrd/directdoc.asp?DDFDocuments/t/G/TBTN16/KEN456.DOC</v>
      </c>
      <c r="K277" s="2" t="str">
        <f>HYPERLINK("https://docs.wto.org/imrd/directdoc.asp?DDFDocuments/u/G/TBTN16/KEN456.DOC")</f>
        <v>https://docs.wto.org/imrd/directdoc.asp?DDFDocuments/u/G/TBTN16/KEN456.DOC</v>
      </c>
      <c r="L277" s="2" t="str">
        <f>HYPERLINK("https://docs.wto.org/imrd/directdoc.asp?DDFDocuments/v/G/TBTN16/KEN456.DOC")</f>
        <v>https://docs.wto.org/imrd/directdoc.asp?DDFDocuments/v/G/TBTN16/KEN456.DOC</v>
      </c>
      <c r="M277" s="2" t="str">
        <f>HYPERLINK("http://www.epingalert.org/#/details/G/TBT/N/KEN/456")</f>
        <v>http://www.epingalert.org/#/details/G/TBT/N/KEN/456</v>
      </c>
      <c r="N277" s="2"/>
      <c r="O277" s="2"/>
    </row>
    <row r="278" spans="1:15" ht="225" outlineLevel="1" x14ac:dyDescent="0.25">
      <c r="A278" s="2" t="s">
        <v>25</v>
      </c>
      <c r="B278" s="4" t="s">
        <v>481</v>
      </c>
      <c r="C278" s="2" t="s">
        <v>482</v>
      </c>
      <c r="D278" s="2" t="s">
        <v>483</v>
      </c>
      <c r="E278" s="3">
        <v>42376</v>
      </c>
      <c r="F278" s="2" t="s">
        <v>388</v>
      </c>
      <c r="G278" s="2"/>
      <c r="H278" s="2" t="s">
        <v>17</v>
      </c>
      <c r="I278" s="3">
        <v>42436</v>
      </c>
      <c r="J278" s="2" t="str">
        <f>HYPERLINK("https://docs.wto.org/imrd/directdoc.asp?DDFDocuments/t/G/TBTN16/KOR620.DOC")</f>
        <v>https://docs.wto.org/imrd/directdoc.asp?DDFDocuments/t/G/TBTN16/KOR620.DOC</v>
      </c>
      <c r="K278" s="2" t="str">
        <f>HYPERLINK("https://docs.wto.org/imrd/directdoc.asp?DDFDocuments/u/G/TBTN16/KOR620.DOC")</f>
        <v>https://docs.wto.org/imrd/directdoc.asp?DDFDocuments/u/G/TBTN16/KOR620.DOC</v>
      </c>
      <c r="L278" s="2" t="str">
        <f>HYPERLINK("https://docs.wto.org/imrd/directdoc.asp?DDFDocuments/v/G/TBTN16/KOR620.DOC")</f>
        <v>https://docs.wto.org/imrd/directdoc.asp?DDFDocuments/v/G/TBTN16/KOR620.DOC</v>
      </c>
      <c r="M278" s="2" t="str">
        <f>HYPERLINK("http://www.epingalert.org/#/details/G/TBT/N/KOR/620")</f>
        <v>http://www.epingalert.org/#/details/G/TBT/N/KOR/620</v>
      </c>
      <c r="N278" s="2"/>
      <c r="O278" s="2"/>
    </row>
    <row r="279" spans="1:15" ht="60" outlineLevel="1" x14ac:dyDescent="0.25">
      <c r="A279" s="2" t="s">
        <v>380</v>
      </c>
      <c r="B279" s="4" t="s">
        <v>484</v>
      </c>
      <c r="C279" s="2" t="s">
        <v>485</v>
      </c>
      <c r="D279" s="2" t="s">
        <v>486</v>
      </c>
      <c r="E279" s="3">
        <v>42376</v>
      </c>
      <c r="F279" s="2" t="s">
        <v>487</v>
      </c>
      <c r="G279" s="2" t="s">
        <v>103</v>
      </c>
      <c r="H279" s="2" t="s">
        <v>17</v>
      </c>
      <c r="I279" s="3">
        <v>42436</v>
      </c>
      <c r="J279" s="2" t="str">
        <f>HYPERLINK("https://docs.wto.org/imrd/directdoc.asp?DDFDocuments/t/G/TBTN16/CHN1165.DOC")</f>
        <v>https://docs.wto.org/imrd/directdoc.asp?DDFDocuments/t/G/TBTN16/CHN1165.DOC</v>
      </c>
      <c r="K279" s="2" t="str">
        <f>HYPERLINK("https://docs.wto.org/imrd/directdoc.asp?DDFDocuments/u/G/TBTN16/CHN1165.DOC")</f>
        <v>https://docs.wto.org/imrd/directdoc.asp?DDFDocuments/u/G/TBTN16/CHN1165.DOC</v>
      </c>
      <c r="L279" s="2" t="str">
        <f>HYPERLINK("https://docs.wto.org/imrd/directdoc.asp?DDFDocuments/v/G/TBTN16/CHN1165.DOC")</f>
        <v>https://docs.wto.org/imrd/directdoc.asp?DDFDocuments/v/G/TBTN16/CHN1165.DOC</v>
      </c>
      <c r="M279" s="2" t="str">
        <f>HYPERLINK("http://www.epingalert.org/#/details/G/TBT/N/CHN/1165")</f>
        <v>http://www.epingalert.org/#/details/G/TBT/N/CHN/1165</v>
      </c>
      <c r="N279" s="2"/>
      <c r="O279" s="2"/>
    </row>
    <row r="280" spans="1:15" ht="60" outlineLevel="1" x14ac:dyDescent="0.25">
      <c r="A280" s="2" t="s">
        <v>380</v>
      </c>
      <c r="B280" s="4" t="s">
        <v>488</v>
      </c>
      <c r="C280" s="2" t="s">
        <v>489</v>
      </c>
      <c r="D280" s="2" t="s">
        <v>490</v>
      </c>
      <c r="E280" s="3">
        <v>42376</v>
      </c>
      <c r="F280" s="2" t="s">
        <v>491</v>
      </c>
      <c r="G280" s="2" t="s">
        <v>103</v>
      </c>
      <c r="H280" s="2" t="s">
        <v>17</v>
      </c>
      <c r="I280" s="3">
        <v>42436</v>
      </c>
      <c r="J280" s="2" t="str">
        <f>HYPERLINK("https://docs.wto.org/imrd/directdoc.asp?DDFDocuments/t/G/TBTN16/CHN1164.DOC")</f>
        <v>https://docs.wto.org/imrd/directdoc.asp?DDFDocuments/t/G/TBTN16/CHN1164.DOC</v>
      </c>
      <c r="K280" s="2" t="str">
        <f>HYPERLINK("https://docs.wto.org/imrd/directdoc.asp?DDFDocuments/u/G/TBTN16/CHN1164.DOC")</f>
        <v>https://docs.wto.org/imrd/directdoc.asp?DDFDocuments/u/G/TBTN16/CHN1164.DOC</v>
      </c>
      <c r="L280" s="2" t="str">
        <f>HYPERLINK("https://docs.wto.org/imrd/directdoc.asp?DDFDocuments/v/G/TBTN16/CHN1164.DOC")</f>
        <v>https://docs.wto.org/imrd/directdoc.asp?DDFDocuments/v/G/TBTN16/CHN1164.DOC</v>
      </c>
      <c r="M280" s="2" t="str">
        <f>HYPERLINK("http://www.epingalert.org/#/details/G/TBT/N/CHN/1164")</f>
        <v>http://www.epingalert.org/#/details/G/TBT/N/CHN/1164</v>
      </c>
      <c r="N280" s="2"/>
      <c r="O280" s="2" t="s">
        <v>8876</v>
      </c>
    </row>
    <row r="281" spans="1:15" ht="105" outlineLevel="1" x14ac:dyDescent="0.25">
      <c r="A281" s="2" t="s">
        <v>77</v>
      </c>
      <c r="B281" s="4" t="s">
        <v>492</v>
      </c>
      <c r="C281" s="2" t="s">
        <v>493</v>
      </c>
      <c r="D281" s="2" t="s">
        <v>494</v>
      </c>
      <c r="E281" s="3">
        <v>42376</v>
      </c>
      <c r="F281" s="2" t="s">
        <v>330</v>
      </c>
      <c r="G281" s="2"/>
      <c r="H281" s="2"/>
      <c r="I281" s="3">
        <v>42436</v>
      </c>
      <c r="J281" s="2" t="str">
        <f>HYPERLINK("https://docs.wto.org/imrd/directdoc.asp?DDFDocuments/t/G/TBTN16/TPKM226.DOC")</f>
        <v>https://docs.wto.org/imrd/directdoc.asp?DDFDocuments/t/G/TBTN16/TPKM226.DOC</v>
      </c>
      <c r="K281" s="2" t="str">
        <f>HYPERLINK("https://docs.wto.org/imrd/directdoc.asp?DDFDocuments/u/G/TBTN16/TPKM226.DOC")</f>
        <v>https://docs.wto.org/imrd/directdoc.asp?DDFDocuments/u/G/TBTN16/TPKM226.DOC</v>
      </c>
      <c r="L281" s="2" t="str">
        <f>HYPERLINK("https://docs.wto.org/imrd/directdoc.asp?DDFDocuments/v/G/TBTN16/TPKM226.DOC")</f>
        <v>https://docs.wto.org/imrd/directdoc.asp?DDFDocuments/v/G/TBTN16/TPKM226.DOC</v>
      </c>
      <c r="M281" s="2" t="str">
        <f>HYPERLINK("http://www.epingalert.org/#/details/G/TBT/N/TPKM/226")</f>
        <v>http://www.epingalert.org/#/details/G/TBT/N/TPKM/226</v>
      </c>
      <c r="N281" s="2"/>
      <c r="O281" s="2"/>
    </row>
    <row r="282" spans="1:15" ht="90" outlineLevel="1" x14ac:dyDescent="0.25">
      <c r="A282" s="2" t="s">
        <v>47</v>
      </c>
      <c r="B282" s="4" t="s">
        <v>2151</v>
      </c>
      <c r="C282" s="2" t="s">
        <v>2152</v>
      </c>
      <c r="D282" s="2" t="s">
        <v>2153</v>
      </c>
      <c r="E282" s="3">
        <v>42373</v>
      </c>
      <c r="F282" s="2" t="s">
        <v>2154</v>
      </c>
      <c r="G282" s="2" t="s">
        <v>2155</v>
      </c>
      <c r="H282" s="2" t="s">
        <v>17</v>
      </c>
      <c r="I282" s="3">
        <v>42433</v>
      </c>
      <c r="J282" s="2" t="str">
        <f>HYPERLINK("https://docs.wto.org/imrd/directdoc.asp?DDFDocuments/t/G/TBTN16/ISR823.DOC")</f>
        <v>https://docs.wto.org/imrd/directdoc.asp?DDFDocuments/t/G/TBTN16/ISR823.DOC</v>
      </c>
      <c r="K282" s="2" t="str">
        <f>HYPERLINK("https://docs.wto.org/imrd/directdoc.asp?DDFDocuments/u/G/TBTN16/ISR823.DOC")</f>
        <v>https://docs.wto.org/imrd/directdoc.asp?DDFDocuments/u/G/TBTN16/ISR823.DOC</v>
      </c>
      <c r="L282" s="2" t="str">
        <f>HYPERLINK("https://docs.wto.org/imrd/directdoc.asp?DDFDocuments/v/G/TBTN16/ISR823.DOC")</f>
        <v>https://docs.wto.org/imrd/directdoc.asp?DDFDocuments/v/G/TBTN16/ISR823.DOC</v>
      </c>
      <c r="M282" s="2" t="str">
        <f>HYPERLINK("http://www.epingalert.org/#/details/G/TBT/N/ISR/823")</f>
        <v>http://www.epingalert.org/#/details/G/TBT/N/ISR/823</v>
      </c>
      <c r="N282" s="2"/>
      <c r="O282" s="2"/>
    </row>
    <row r="283" spans="1:15" ht="225" outlineLevel="1" x14ac:dyDescent="0.25">
      <c r="A283" s="2" t="s">
        <v>42</v>
      </c>
      <c r="B283" s="4" t="s">
        <v>495</v>
      </c>
      <c r="C283" s="2" t="s">
        <v>496</v>
      </c>
      <c r="D283" s="2" t="s">
        <v>497</v>
      </c>
      <c r="E283" s="3">
        <v>42373</v>
      </c>
      <c r="F283" s="2" t="s">
        <v>498</v>
      </c>
      <c r="G283" s="2" t="s">
        <v>499</v>
      </c>
      <c r="H283" s="2" t="s">
        <v>120</v>
      </c>
      <c r="I283" s="2"/>
      <c r="J283" s="2" t="str">
        <f>HYPERLINK("https://docs.wto.org/imrd/directdoc.asp?DDFDocuments/t/G/TBTN16/BRA657.DOC")</f>
        <v>https://docs.wto.org/imrd/directdoc.asp?DDFDocuments/t/G/TBTN16/BRA657.DOC</v>
      </c>
      <c r="K283" s="2" t="str">
        <f>HYPERLINK("https://docs.wto.org/imrd/directdoc.asp?DDFDocuments/u/G/TBTN16/BRA657.DOC")</f>
        <v>https://docs.wto.org/imrd/directdoc.asp?DDFDocuments/u/G/TBTN16/BRA657.DOC</v>
      </c>
      <c r="L283" s="2" t="str">
        <f>HYPERLINK("https://docs.wto.org/imrd/directdoc.asp?DDFDocuments/v/G/TBTN16/BRA657.DOC")</f>
        <v>https://docs.wto.org/imrd/directdoc.asp?DDFDocuments/v/G/TBTN16/BRA657.DOC</v>
      </c>
      <c r="M283" s="2" t="str">
        <f>HYPERLINK("http://www.epingalert.org/#/details/G/TBT/N/BRA/657")</f>
        <v>http://www.epingalert.org/#/details/G/TBT/N/BRA/657</v>
      </c>
      <c r="N283" s="2"/>
      <c r="O283" s="2"/>
    </row>
    <row r="284" spans="1:15" ht="255" outlineLevel="1" x14ac:dyDescent="0.25">
      <c r="A284" s="2" t="s">
        <v>18</v>
      </c>
      <c r="B284" s="4" t="s">
        <v>500</v>
      </c>
      <c r="C284" s="2" t="s">
        <v>501</v>
      </c>
      <c r="D284" s="2" t="s">
        <v>502</v>
      </c>
      <c r="E284" s="3">
        <v>42360</v>
      </c>
      <c r="F284" s="2" t="s">
        <v>503</v>
      </c>
      <c r="G284" s="2" t="s">
        <v>23</v>
      </c>
      <c r="H284" s="2" t="s">
        <v>30</v>
      </c>
      <c r="I284" s="3">
        <v>42416</v>
      </c>
      <c r="J284" s="2" t="str">
        <f>HYPERLINK("https://docs.wto.org/imrd/directdoc.asp?DDFDocuments/t/G/TBTN15/USA1054.DOC")</f>
        <v>https://docs.wto.org/imrd/directdoc.asp?DDFDocuments/t/G/TBTN15/USA1054.DOC</v>
      </c>
      <c r="K284" s="2" t="str">
        <f>HYPERLINK("https://docs.wto.org/imrd/directdoc.asp?DDFDocuments/u/G/TBTN15/USA1054.DOC")</f>
        <v>https://docs.wto.org/imrd/directdoc.asp?DDFDocuments/u/G/TBTN15/USA1054.DOC</v>
      </c>
      <c r="L284" s="2" t="str">
        <f>HYPERLINK("https://docs.wto.org/imrd/directdoc.asp?DDFDocuments/v/G/TBTN15/USA1054.DOC")</f>
        <v>https://docs.wto.org/imrd/directdoc.asp?DDFDocuments/v/G/TBTN15/USA1054.DOC</v>
      </c>
      <c r="M284" s="2" t="str">
        <f>HYPERLINK("http://www.epingalert.org/#/details/G/TBT/N/USA/1054")</f>
        <v>http://www.epingalert.org/#/details/G/TBT/N/USA/1054</v>
      </c>
      <c r="N284" s="2"/>
      <c r="O284" s="2"/>
    </row>
    <row r="285" spans="1:15" ht="135" outlineLevel="1" x14ac:dyDescent="0.25">
      <c r="A285" s="2" t="s">
        <v>12</v>
      </c>
      <c r="B285" s="4" t="s">
        <v>504</v>
      </c>
      <c r="C285" s="2" t="s">
        <v>505</v>
      </c>
      <c r="D285" s="2" t="s">
        <v>506</v>
      </c>
      <c r="E285" s="3">
        <v>42354</v>
      </c>
      <c r="F285" s="2" t="s">
        <v>86</v>
      </c>
      <c r="G285" s="2"/>
      <c r="H285" s="2" t="s">
        <v>17</v>
      </c>
      <c r="I285" s="3">
        <v>42414</v>
      </c>
      <c r="J285" s="2" t="str">
        <f>HYPERLINK("https://docs.wto.org/imrd/directdoc.asp?DDFDocuments/t/G/TBTN15/EU331.DOC")</f>
        <v>https://docs.wto.org/imrd/directdoc.asp?DDFDocuments/t/G/TBTN15/EU331.DOC</v>
      </c>
      <c r="K285" s="2" t="str">
        <f>HYPERLINK("https://docs.wto.org/imrd/directdoc.asp?DDFDocuments/u/G/TBTN15/EU331.DOC")</f>
        <v>https://docs.wto.org/imrd/directdoc.asp?DDFDocuments/u/G/TBTN15/EU331.DOC</v>
      </c>
      <c r="L285" s="2" t="str">
        <f>HYPERLINK("https://docs.wto.org/imrd/directdoc.asp?DDFDocuments/v/G/TBTN15/EU331.DOC")</f>
        <v>https://docs.wto.org/imrd/directdoc.asp?DDFDocuments/v/G/TBTN15/EU331.DOC</v>
      </c>
      <c r="M285" s="2" t="str">
        <f>HYPERLINK("http://www.epingalert.org/#/details/G/TBT/N/EU/331")</f>
        <v>http://www.epingalert.org/#/details/G/TBT/N/EU/331</v>
      </c>
      <c r="N285" s="2"/>
      <c r="O285" s="2"/>
    </row>
    <row r="286" spans="1:15" ht="135" outlineLevel="1" x14ac:dyDescent="0.25">
      <c r="A286" s="2" t="s">
        <v>12</v>
      </c>
      <c r="B286" s="4" t="s">
        <v>507</v>
      </c>
      <c r="C286" s="2" t="s">
        <v>114</v>
      </c>
      <c r="D286" s="2" t="s">
        <v>508</v>
      </c>
      <c r="E286" s="3">
        <v>42354</v>
      </c>
      <c r="F286" s="2" t="s">
        <v>86</v>
      </c>
      <c r="G286" s="2"/>
      <c r="H286" s="2" t="s">
        <v>17</v>
      </c>
      <c r="I286" s="3">
        <v>42414</v>
      </c>
      <c r="J286" s="2" t="str">
        <f>HYPERLINK("https://docs.wto.org/imrd/directdoc.asp?DDFDocuments/t/G/TBTN15/EU330.DOC")</f>
        <v>https://docs.wto.org/imrd/directdoc.asp?DDFDocuments/t/G/TBTN15/EU330.DOC</v>
      </c>
      <c r="K286" s="2" t="str">
        <f>HYPERLINK("https://docs.wto.org/imrd/directdoc.asp?DDFDocuments/u/G/TBTN15/EU330.DOC")</f>
        <v>https://docs.wto.org/imrd/directdoc.asp?DDFDocuments/u/G/TBTN15/EU330.DOC</v>
      </c>
      <c r="L286" s="2" t="str">
        <f>HYPERLINK("https://docs.wto.org/imrd/directdoc.asp?DDFDocuments/v/G/TBTN15/EU330.DOC")</f>
        <v>https://docs.wto.org/imrd/directdoc.asp?DDFDocuments/v/G/TBTN15/EU330.DOC</v>
      </c>
      <c r="M286" s="2" t="str">
        <f>HYPERLINK("http://www.epingalert.org/#/details/G/TBT/N/EU/330")</f>
        <v>http://www.epingalert.org/#/details/G/TBT/N/EU/330</v>
      </c>
      <c r="N286" s="2"/>
      <c r="O286" s="2"/>
    </row>
    <row r="287" spans="1:15" ht="409.5" outlineLevel="1" x14ac:dyDescent="0.25">
      <c r="A287" s="2" t="s">
        <v>31</v>
      </c>
      <c r="B287" s="4" t="s">
        <v>509</v>
      </c>
      <c r="C287" s="2" t="s">
        <v>510</v>
      </c>
      <c r="D287" s="2" t="s">
        <v>511</v>
      </c>
      <c r="E287" s="3">
        <v>42347</v>
      </c>
      <c r="F287" s="2" t="s">
        <v>512</v>
      </c>
      <c r="G287" s="2" t="s">
        <v>513</v>
      </c>
      <c r="H287" s="2" t="s">
        <v>24</v>
      </c>
      <c r="I287" s="3">
        <v>42407</v>
      </c>
      <c r="J287" s="2" t="str">
        <f>HYPERLINK("https://docs.wto.org/imrd/directdoc.asp?DDFDocuments/t/G/TBTN15/THA471.DOC")</f>
        <v>https://docs.wto.org/imrd/directdoc.asp?DDFDocuments/t/G/TBTN15/THA471.DOC</v>
      </c>
      <c r="K287" s="2" t="str">
        <f>HYPERLINK("https://docs.wto.org/imrd/directdoc.asp?DDFDocuments/u/G/TBTN15/THA471.DOC")</f>
        <v>https://docs.wto.org/imrd/directdoc.asp?DDFDocuments/u/G/TBTN15/THA471.DOC</v>
      </c>
      <c r="L287" s="2" t="str">
        <f>HYPERLINK("https://docs.wto.org/imrd/directdoc.asp?DDFDocuments/v/G/TBTN15/THA471.DOC")</f>
        <v>https://docs.wto.org/imrd/directdoc.asp?DDFDocuments/v/G/TBTN15/THA471.DOC</v>
      </c>
      <c r="M287" s="2" t="str">
        <f>HYPERLINK("http://www.epingalert.org/#/details/G/TBT/N/THA/471")</f>
        <v>http://www.epingalert.org/#/details/G/TBT/N/THA/471</v>
      </c>
      <c r="N287" s="2"/>
      <c r="O287" s="2"/>
    </row>
    <row r="288" spans="1:15" ht="409.5" outlineLevel="1" x14ac:dyDescent="0.25">
      <c r="A288" s="2" t="s">
        <v>31</v>
      </c>
      <c r="B288" s="4" t="s">
        <v>514</v>
      </c>
      <c r="C288" s="2" t="s">
        <v>515</v>
      </c>
      <c r="D288" s="2" t="s">
        <v>516</v>
      </c>
      <c r="E288" s="3">
        <v>42347</v>
      </c>
      <c r="F288" s="2" t="s">
        <v>517</v>
      </c>
      <c r="G288" s="2"/>
      <c r="H288" s="2" t="s">
        <v>24</v>
      </c>
      <c r="I288" s="3">
        <v>42407</v>
      </c>
      <c r="J288" s="2" t="str">
        <f>HYPERLINK("https://docs.wto.org/imrd/directdoc.asp?DDFDocuments/t/G/TBTN15/THA469.DOC")</f>
        <v>https://docs.wto.org/imrd/directdoc.asp?DDFDocuments/t/G/TBTN15/THA469.DOC</v>
      </c>
      <c r="K288" s="2" t="str">
        <f>HYPERLINK("https://docs.wto.org/imrd/directdoc.asp?DDFDocuments/u/G/TBTN15/THA469.DOC")</f>
        <v>https://docs.wto.org/imrd/directdoc.asp?DDFDocuments/u/G/TBTN15/THA469.DOC</v>
      </c>
      <c r="L288" s="2" t="str">
        <f>HYPERLINK("https://docs.wto.org/imrd/directdoc.asp?DDFDocuments/v/G/TBTN15/THA469.DOC")</f>
        <v>https://docs.wto.org/imrd/directdoc.asp?DDFDocuments/v/G/TBTN15/THA469.DOC</v>
      </c>
      <c r="M288" s="2" t="str">
        <f>HYPERLINK("http://www.epingalert.org/#/details/G/TBT/N/THA/469")</f>
        <v>http://www.epingalert.org/#/details/G/TBT/N/THA/469</v>
      </c>
      <c r="N288" s="2"/>
      <c r="O288" s="2"/>
    </row>
    <row r="289" spans="1:15" ht="409.5" outlineLevel="1" x14ac:dyDescent="0.25">
      <c r="A289" s="2" t="s">
        <v>225</v>
      </c>
      <c r="B289" s="4" t="s">
        <v>518</v>
      </c>
      <c r="C289" s="2" t="s">
        <v>519</v>
      </c>
      <c r="D289" s="2" t="s">
        <v>520</v>
      </c>
      <c r="E289" s="3">
        <v>42345</v>
      </c>
      <c r="F289" s="8" t="s">
        <v>521</v>
      </c>
      <c r="G289" s="2"/>
      <c r="H289" s="2" t="s">
        <v>82</v>
      </c>
      <c r="I289" s="3">
        <v>42405</v>
      </c>
      <c r="J289" s="2" t="str">
        <f>HYPERLINK("https://docs.wto.org/imrd/directdoc.asp?DDFDocuments/t/G/TBTN15/AUS100.DOC")</f>
        <v>https://docs.wto.org/imrd/directdoc.asp?DDFDocuments/t/G/TBTN15/AUS100.DOC</v>
      </c>
      <c r="K289" s="2" t="str">
        <f>HYPERLINK("https://docs.wto.org/imrd/directdoc.asp?DDFDocuments/u/G/TBTN15/AUS100.DOC")</f>
        <v>https://docs.wto.org/imrd/directdoc.asp?DDFDocuments/u/G/TBTN15/AUS100.DOC</v>
      </c>
      <c r="L289" s="2" t="str">
        <f>HYPERLINK("https://docs.wto.org/imrd/directdoc.asp?DDFDocuments/v/G/TBTN15/AUS100.DOC")</f>
        <v>https://docs.wto.org/imrd/directdoc.asp?DDFDocuments/v/G/TBTN15/AUS100.DOC</v>
      </c>
      <c r="M289" s="2" t="str">
        <f>HYPERLINK("http://www.epingalert.org/#/details/G/TBT/N/AUS/100")</f>
        <v>http://www.epingalert.org/#/details/G/TBT/N/AUS/100</v>
      </c>
      <c r="N289" s="2"/>
      <c r="O289" s="2"/>
    </row>
    <row r="290" spans="1:15" ht="409.5" outlineLevel="1" x14ac:dyDescent="0.25">
      <c r="A290" s="2" t="s">
        <v>25</v>
      </c>
      <c r="B290" s="4" t="s">
        <v>522</v>
      </c>
      <c r="C290" s="2" t="s">
        <v>523</v>
      </c>
      <c r="D290" s="2" t="s">
        <v>524</v>
      </c>
      <c r="E290" s="3">
        <v>42345</v>
      </c>
      <c r="F290" s="2" t="s">
        <v>46</v>
      </c>
      <c r="G290" s="2"/>
      <c r="H290" s="2" t="s">
        <v>30</v>
      </c>
      <c r="I290" s="3">
        <v>42405</v>
      </c>
      <c r="J290" s="2" t="str">
        <f>HYPERLINK("https://docs.wto.org/imrd/directdoc.asp?DDFDocuments/t/G/TBTN15/KOR619.DOC")</f>
        <v>https://docs.wto.org/imrd/directdoc.asp?DDFDocuments/t/G/TBTN15/KOR619.DOC</v>
      </c>
      <c r="K290" s="2" t="str">
        <f>HYPERLINK("https://docs.wto.org/imrd/directdoc.asp?DDFDocuments/u/G/TBTN15/KOR619.DOC")</f>
        <v>https://docs.wto.org/imrd/directdoc.asp?DDFDocuments/u/G/TBTN15/KOR619.DOC</v>
      </c>
      <c r="L290" s="2" t="str">
        <f>HYPERLINK("https://docs.wto.org/imrd/directdoc.asp?DDFDocuments/v/G/TBTN15/KOR619.DOC")</f>
        <v>https://docs.wto.org/imrd/directdoc.asp?DDFDocuments/v/G/TBTN15/KOR619.DOC</v>
      </c>
      <c r="M290" s="2" t="str">
        <f>HYPERLINK("http://www.epingalert.org/#/details/G/TBT/N/KOR/619")</f>
        <v>http://www.epingalert.org/#/details/G/TBT/N/KOR/619</v>
      </c>
      <c r="N290" s="2"/>
      <c r="O290" s="2"/>
    </row>
    <row r="291" spans="1:15" ht="409.5" outlineLevel="1" x14ac:dyDescent="0.25">
      <c r="A291" s="2" t="s">
        <v>98</v>
      </c>
      <c r="B291" s="4" t="s">
        <v>529</v>
      </c>
      <c r="C291" s="2" t="s">
        <v>530</v>
      </c>
      <c r="D291" s="2" t="s">
        <v>531</v>
      </c>
      <c r="E291" s="3">
        <v>42342</v>
      </c>
      <c r="F291" s="2" t="s">
        <v>532</v>
      </c>
      <c r="G291" s="2" t="s">
        <v>533</v>
      </c>
      <c r="H291" s="2" t="s">
        <v>17</v>
      </c>
      <c r="I291" s="3">
        <v>42402</v>
      </c>
      <c r="J291" s="2" t="str">
        <f>HYPERLINK("https://docs.wto.org/imrd/directdoc.asp?DDFDocuments/t/G/TBTN15/ZAF194.DOC")</f>
        <v>https://docs.wto.org/imrd/directdoc.asp?DDFDocuments/t/G/TBTN15/ZAF194.DOC</v>
      </c>
      <c r="K291" s="2" t="str">
        <f>HYPERLINK("https://docs.wto.org/imrd/directdoc.asp?DDFDocuments/u/G/TBTN15/ZAF194.DOC")</f>
        <v>https://docs.wto.org/imrd/directdoc.asp?DDFDocuments/u/G/TBTN15/ZAF194.DOC</v>
      </c>
      <c r="L291" s="2" t="str">
        <f>HYPERLINK("https://docs.wto.org/imrd/directdoc.asp?DDFDocuments/v/G/TBTN15/ZAF194.DOC")</f>
        <v>https://docs.wto.org/imrd/directdoc.asp?DDFDocuments/v/G/TBTN15/ZAF194.DOC</v>
      </c>
      <c r="M291" s="2" t="str">
        <f>HYPERLINK("http://www.epingalert.org/#/details/G/TBT/N/ZAF/194")</f>
        <v>http://www.epingalert.org/#/details/G/TBT/N/ZAF/194</v>
      </c>
      <c r="N291" s="2"/>
      <c r="O291" s="2"/>
    </row>
    <row r="292" spans="1:15" ht="120" outlineLevel="1" x14ac:dyDescent="0.25">
      <c r="A292" s="2" t="s">
        <v>282</v>
      </c>
      <c r="B292" s="4" t="s">
        <v>525</v>
      </c>
      <c r="C292" s="2" t="s">
        <v>526</v>
      </c>
      <c r="D292" s="2" t="s">
        <v>527</v>
      </c>
      <c r="E292" s="3">
        <v>42342</v>
      </c>
      <c r="F292" s="2" t="s">
        <v>528</v>
      </c>
      <c r="G292" s="2"/>
      <c r="H292" s="2" t="s">
        <v>17</v>
      </c>
      <c r="I292" s="3">
        <v>42396</v>
      </c>
      <c r="J292" s="2" t="str">
        <f>HYPERLINK("https://docs.wto.org/imrd/directdoc.asp?DDFDocuments/t/G/TBTN15/RUS46.DOC")</f>
        <v>https://docs.wto.org/imrd/directdoc.asp?DDFDocuments/t/G/TBTN15/RUS46.DOC</v>
      </c>
      <c r="K292" s="2" t="str">
        <f>HYPERLINK("https://docs.wto.org/imrd/directdoc.asp?DDFDocuments/u/G/TBTN15/RUS46.DOC")</f>
        <v>https://docs.wto.org/imrd/directdoc.asp?DDFDocuments/u/G/TBTN15/RUS46.DOC</v>
      </c>
      <c r="L292" s="2" t="str">
        <f>HYPERLINK("https://docs.wto.org/imrd/directdoc.asp?DDFDocuments/v/G/TBTN15/RUS46.DOC")</f>
        <v>https://docs.wto.org/imrd/directdoc.asp?DDFDocuments/v/G/TBTN15/RUS46.DOC</v>
      </c>
      <c r="M292" s="2" t="str">
        <f>HYPERLINK("http://www.epingalert.org/#/details/G/TBT/N/RUS/46")</f>
        <v>http://www.epingalert.org/#/details/G/TBT/N/RUS/46</v>
      </c>
      <c r="N292" s="2"/>
      <c r="O292" s="2"/>
    </row>
    <row r="293" spans="1:15" ht="195" outlineLevel="1" x14ac:dyDescent="0.25">
      <c r="A293" s="2" t="s">
        <v>37</v>
      </c>
      <c r="B293" s="4" t="s">
        <v>538</v>
      </c>
      <c r="C293" s="2" t="s">
        <v>539</v>
      </c>
      <c r="D293" s="2" t="s">
        <v>540</v>
      </c>
      <c r="E293" s="3">
        <v>42341</v>
      </c>
      <c r="F293" s="2" t="s">
        <v>541</v>
      </c>
      <c r="G293" s="2"/>
      <c r="H293" s="2" t="s">
        <v>17</v>
      </c>
      <c r="I293" s="3">
        <v>42352</v>
      </c>
      <c r="J293" s="2" t="str">
        <f>HYPERLINK("https://docs.wto.org/imrd/directdoc.asp?DDFDocuments/t/G/TBTN15/TUR69.DOC")</f>
        <v>https://docs.wto.org/imrd/directdoc.asp?DDFDocuments/t/G/TBTN15/TUR69.DOC</v>
      </c>
      <c r="K293" s="2" t="str">
        <f>HYPERLINK("https://docs.wto.org/imrd/directdoc.asp?DDFDocuments/u/G/TBTN15/TUR69.DOC")</f>
        <v>https://docs.wto.org/imrd/directdoc.asp?DDFDocuments/u/G/TBTN15/TUR69.DOC</v>
      </c>
      <c r="L293" s="2" t="str">
        <f>HYPERLINK("https://docs.wto.org/imrd/directdoc.asp?DDFDocuments/v/G/TBTN15/TUR69.DOC")</f>
        <v>https://docs.wto.org/imrd/directdoc.asp?DDFDocuments/v/G/TBTN15/TUR69.DOC</v>
      </c>
      <c r="M293" s="2" t="str">
        <f>HYPERLINK("http://www.epingalert.org/#/details/G/TBT/N/TUR/69")</f>
        <v>http://www.epingalert.org/#/details/G/TBT/N/TUR/69</v>
      </c>
      <c r="N293" s="2"/>
      <c r="O293" s="2"/>
    </row>
    <row r="294" spans="1:15" ht="105" outlineLevel="1" x14ac:dyDescent="0.25">
      <c r="A294" s="2" t="s">
        <v>37</v>
      </c>
      <c r="B294" s="4" t="s">
        <v>534</v>
      </c>
      <c r="C294" s="2" t="s">
        <v>535</v>
      </c>
      <c r="D294" s="2" t="s">
        <v>536</v>
      </c>
      <c r="E294" s="3">
        <v>42341</v>
      </c>
      <c r="F294" s="2" t="s">
        <v>537</v>
      </c>
      <c r="G294" s="2"/>
      <c r="H294" s="2" t="s">
        <v>17</v>
      </c>
      <c r="I294" s="2"/>
      <c r="J294" s="2" t="str">
        <f>HYPERLINK("https://docs.wto.org/imrd/directdoc.asp?DDFDocuments/t/G/TBTN15/TUR70.DOC")</f>
        <v>https://docs.wto.org/imrd/directdoc.asp?DDFDocuments/t/G/TBTN15/TUR70.DOC</v>
      </c>
      <c r="K294" s="2" t="str">
        <f>HYPERLINK("https://docs.wto.org/imrd/directdoc.asp?DDFDocuments/u/G/TBTN15/TUR70.DOC")</f>
        <v>https://docs.wto.org/imrd/directdoc.asp?DDFDocuments/u/G/TBTN15/TUR70.DOC</v>
      </c>
      <c r="L294" s="2" t="str">
        <f>HYPERLINK("https://docs.wto.org/imrd/directdoc.asp?DDFDocuments/v/G/TBTN15/TUR70.DOC")</f>
        <v>https://docs.wto.org/imrd/directdoc.asp?DDFDocuments/v/G/TBTN15/TUR70.DOC</v>
      </c>
      <c r="M294" s="2" t="str">
        <f>HYPERLINK("http://www.epingalert.org/#/details/G/TBT/N/TUR/70")</f>
        <v>http://www.epingalert.org/#/details/G/TBT/N/TUR/70</v>
      </c>
      <c r="N294" s="2"/>
      <c r="O294" s="2"/>
    </row>
    <row r="295" spans="1:15" ht="105" outlineLevel="1" x14ac:dyDescent="0.25">
      <c r="A295" s="2" t="s">
        <v>444</v>
      </c>
      <c r="B295" s="4" t="s">
        <v>547</v>
      </c>
      <c r="C295" s="2" t="s">
        <v>548</v>
      </c>
      <c r="D295" s="2" t="s">
        <v>549</v>
      </c>
      <c r="E295" s="3">
        <v>42339</v>
      </c>
      <c r="F295" s="2" t="s">
        <v>550</v>
      </c>
      <c r="G295" s="2" t="s">
        <v>103</v>
      </c>
      <c r="H295" s="2" t="s">
        <v>17</v>
      </c>
      <c r="I295" s="3">
        <v>42399</v>
      </c>
      <c r="J295" s="2" t="str">
        <f>HYPERLINK("https://docs.wto.org/imrd/directdoc.asp?DDFDocuments/t/G/TBTN15/MYS62.DOC")</f>
        <v>https://docs.wto.org/imrd/directdoc.asp?DDFDocuments/t/G/TBTN15/MYS62.DOC</v>
      </c>
      <c r="K295" s="2" t="str">
        <f>HYPERLINK("https://docs.wto.org/imrd/directdoc.asp?DDFDocuments/u/G/TBTN15/MYS62.DOC")</f>
        <v>https://docs.wto.org/imrd/directdoc.asp?DDFDocuments/u/G/TBTN15/MYS62.DOC</v>
      </c>
      <c r="L295" s="2" t="str">
        <f>HYPERLINK("https://docs.wto.org/imrd/directdoc.asp?DDFDocuments/v/G/TBTN15/MYS62.DOC")</f>
        <v>https://docs.wto.org/imrd/directdoc.asp?DDFDocuments/v/G/TBTN15/MYS62.DOC</v>
      </c>
      <c r="M295" s="2" t="str">
        <f>HYPERLINK("http://www.epingalert.org/#/details/G/TBT/N/MYS/62")</f>
        <v>http://www.epingalert.org/#/details/G/TBT/N/MYS/62</v>
      </c>
      <c r="N295" s="2"/>
      <c r="O295" s="2"/>
    </row>
    <row r="296" spans="1:15" ht="75" outlineLevel="1" x14ac:dyDescent="0.25">
      <c r="A296" s="2" t="s">
        <v>444</v>
      </c>
      <c r="B296" s="4" t="s">
        <v>551</v>
      </c>
      <c r="C296" s="2" t="s">
        <v>552</v>
      </c>
      <c r="D296" s="2" t="s">
        <v>553</v>
      </c>
      <c r="E296" s="3">
        <v>42339</v>
      </c>
      <c r="F296" s="8" t="s">
        <v>554</v>
      </c>
      <c r="G296" s="2" t="s">
        <v>103</v>
      </c>
      <c r="H296" s="2" t="s">
        <v>17</v>
      </c>
      <c r="I296" s="3">
        <v>42399</v>
      </c>
      <c r="J296" s="2" t="str">
        <f>HYPERLINK("https://docs.wto.org/imrd/directdoc.asp?DDFDocuments/t/G/TBTN15/MYS61.DOC")</f>
        <v>https://docs.wto.org/imrd/directdoc.asp?DDFDocuments/t/G/TBTN15/MYS61.DOC</v>
      </c>
      <c r="K296" s="2" t="str">
        <f>HYPERLINK("https://docs.wto.org/imrd/directdoc.asp?DDFDocuments/u/G/TBTN15/MYS61.DOC")</f>
        <v>https://docs.wto.org/imrd/directdoc.asp?DDFDocuments/u/G/TBTN15/MYS61.DOC</v>
      </c>
      <c r="L296" s="2" t="str">
        <f>HYPERLINK("https://docs.wto.org/imrd/directdoc.asp?DDFDocuments/v/G/TBTN15/MYS61.DOC")</f>
        <v>https://docs.wto.org/imrd/directdoc.asp?DDFDocuments/v/G/TBTN15/MYS61.DOC</v>
      </c>
      <c r="M296" s="2" t="str">
        <f>HYPERLINK("http://www.epingalert.org/#/details/G/TBT/N/MYS/61")</f>
        <v>http://www.epingalert.org/#/details/G/TBT/N/MYS/61</v>
      </c>
      <c r="N296" s="2"/>
      <c r="O296" s="2"/>
    </row>
    <row r="297" spans="1:15" ht="195" outlineLevel="1" x14ac:dyDescent="0.25">
      <c r="A297" s="2" t="s">
        <v>444</v>
      </c>
      <c r="B297" s="4" t="s">
        <v>1720</v>
      </c>
      <c r="C297" s="2" t="s">
        <v>1721</v>
      </c>
      <c r="D297" s="2" t="s">
        <v>1722</v>
      </c>
      <c r="E297" s="3">
        <v>42339</v>
      </c>
      <c r="F297" s="2"/>
      <c r="G297" s="2" t="s">
        <v>1660</v>
      </c>
      <c r="H297" s="2"/>
      <c r="I297" s="3">
        <v>42399</v>
      </c>
      <c r="J297" s="2" t="str">
        <f>HYPERLINK("https://docs.wto.org/imrd/directdoc.asp?DDFDocuments/t/G/TBTN15/MYS59.DOC")</f>
        <v>https://docs.wto.org/imrd/directdoc.asp?DDFDocuments/t/G/TBTN15/MYS59.DOC</v>
      </c>
      <c r="K297" s="2" t="str">
        <f>HYPERLINK("https://docs.wto.org/imrd/directdoc.asp?DDFDocuments/u/G/TBTN15/MYS59.DOC")</f>
        <v>https://docs.wto.org/imrd/directdoc.asp?DDFDocuments/u/G/TBTN15/MYS59.DOC</v>
      </c>
      <c r="L297" s="2" t="str">
        <f>HYPERLINK("https://docs.wto.org/imrd/directdoc.asp?DDFDocuments/v/G/TBTN15/MYS59.DOC")</f>
        <v>https://docs.wto.org/imrd/directdoc.asp?DDFDocuments/v/G/TBTN15/MYS59.DOC</v>
      </c>
      <c r="M297" s="2" t="str">
        <f>HYPERLINK("http://www.epingalert.org/#/details/G/TBT/N/MYS/59")</f>
        <v>http://www.epingalert.org/#/details/G/TBT/N/MYS/59</v>
      </c>
      <c r="N297" s="2"/>
      <c r="O297" s="2"/>
    </row>
    <row r="298" spans="1:15" ht="60" outlineLevel="1" x14ac:dyDescent="0.25">
      <c r="A298" s="2" t="s">
        <v>121</v>
      </c>
      <c r="B298" s="4" t="s">
        <v>1723</v>
      </c>
      <c r="C298" s="2" t="s">
        <v>1724</v>
      </c>
      <c r="D298" s="2" t="s">
        <v>1725</v>
      </c>
      <c r="E298" s="3">
        <v>42339</v>
      </c>
      <c r="F298" s="2" t="s">
        <v>1726</v>
      </c>
      <c r="G298" s="2"/>
      <c r="H298" s="2" t="s">
        <v>17</v>
      </c>
      <c r="I298" s="3">
        <v>42399</v>
      </c>
      <c r="J298" s="2" t="str">
        <f>HYPERLINK("https://docs.wto.org/imrd/directdoc.asp?DDFDocuments/t/G/TBTN15/IND51.DOC")</f>
        <v>https://docs.wto.org/imrd/directdoc.asp?DDFDocuments/t/G/TBTN15/IND51.DOC</v>
      </c>
      <c r="K298" s="2" t="str">
        <f>HYPERLINK("https://docs.wto.org/imrd/directdoc.asp?DDFDocuments/u/G/TBTN15/IND51.DOC")</f>
        <v>https://docs.wto.org/imrd/directdoc.asp?DDFDocuments/u/G/TBTN15/IND51.DOC</v>
      </c>
      <c r="L298" s="2" t="str">
        <f>HYPERLINK("https://docs.wto.org/imrd/directdoc.asp?DDFDocuments/v/G/TBTN15/IND51.DOC")</f>
        <v>https://docs.wto.org/imrd/directdoc.asp?DDFDocuments/v/G/TBTN15/IND51.DOC</v>
      </c>
      <c r="M298" s="2" t="str">
        <f>HYPERLINK("http://www.epingalert.org/#/details/G/TBT/N/IND/51")</f>
        <v>http://www.epingalert.org/#/details/G/TBT/N/IND/51</v>
      </c>
      <c r="N298" s="2"/>
      <c r="O298" s="2"/>
    </row>
    <row r="299" spans="1:15" ht="195" outlineLevel="1" x14ac:dyDescent="0.25">
      <c r="A299" s="2" t="s">
        <v>18</v>
      </c>
      <c r="B299" s="4" t="s">
        <v>542</v>
      </c>
      <c r="C299" s="2" t="s">
        <v>543</v>
      </c>
      <c r="D299" s="2" t="s">
        <v>544</v>
      </c>
      <c r="E299" s="3">
        <v>42339</v>
      </c>
      <c r="F299" s="2" t="s">
        <v>545</v>
      </c>
      <c r="G299" s="2" t="s">
        <v>546</v>
      </c>
      <c r="H299" s="2" t="s">
        <v>24</v>
      </c>
      <c r="I299" s="2"/>
      <c r="J299" s="2" t="str">
        <f>HYPERLINK("https://docs.wto.org/imrd/directdoc.asp?DDFDocuments/t/G/TBTN15/USA1053.DOC")</f>
        <v>https://docs.wto.org/imrd/directdoc.asp?DDFDocuments/t/G/TBTN15/USA1053.DOC</v>
      </c>
      <c r="K299" s="2" t="str">
        <f>HYPERLINK("https://docs.wto.org/imrd/directdoc.asp?DDFDocuments/u/G/TBTN15/USA1053.DOC")</f>
        <v>https://docs.wto.org/imrd/directdoc.asp?DDFDocuments/u/G/TBTN15/USA1053.DOC</v>
      </c>
      <c r="L299" s="2" t="str">
        <f>HYPERLINK("https://docs.wto.org/imrd/directdoc.asp?DDFDocuments/v/G/TBTN15/USA1053.DOC")</f>
        <v>https://docs.wto.org/imrd/directdoc.asp?DDFDocuments/v/G/TBTN15/USA1053.DOC</v>
      </c>
      <c r="M299" s="2" t="str">
        <f>HYPERLINK("http://www.epingalert.org/#/details/G/TBT/N/USA/1053")</f>
        <v>http://www.epingalert.org/#/details/G/TBT/N/USA/1053</v>
      </c>
      <c r="N299" s="2"/>
      <c r="O299" s="2"/>
    </row>
    <row r="300" spans="1:15" ht="409.5" outlineLevel="1" x14ac:dyDescent="0.25">
      <c r="A300" s="2" t="s">
        <v>18</v>
      </c>
      <c r="B300" s="4" t="s">
        <v>555</v>
      </c>
      <c r="C300" s="2" t="s">
        <v>556</v>
      </c>
      <c r="D300" s="2" t="s">
        <v>557</v>
      </c>
      <c r="E300" s="3">
        <v>42328</v>
      </c>
      <c r="F300" s="2" t="s">
        <v>22</v>
      </c>
      <c r="G300" s="2" t="s">
        <v>23</v>
      </c>
      <c r="H300" s="2" t="s">
        <v>17</v>
      </c>
      <c r="I300" s="3">
        <v>42385</v>
      </c>
      <c r="J300" s="2" t="str">
        <f>HYPERLINK("https://docs.wto.org/imrd/directdoc.asp?DDFDocuments/t/G/TBTN15/USA1050.DOC")</f>
        <v>https://docs.wto.org/imrd/directdoc.asp?DDFDocuments/t/G/TBTN15/USA1050.DOC</v>
      </c>
      <c r="K300" s="2" t="str">
        <f>HYPERLINK("https://docs.wto.org/imrd/directdoc.asp?DDFDocuments/u/G/TBTN15/USA1050.DOC")</f>
        <v>https://docs.wto.org/imrd/directdoc.asp?DDFDocuments/u/G/TBTN15/USA1050.DOC</v>
      </c>
      <c r="L300" s="2" t="str">
        <f>HYPERLINK("https://docs.wto.org/imrd/directdoc.asp?DDFDocuments/v/G/TBTN15/USA1050.DOC")</f>
        <v>https://docs.wto.org/imrd/directdoc.asp?DDFDocuments/v/G/TBTN15/USA1050.DOC</v>
      </c>
      <c r="M300" s="2" t="str">
        <f>HYPERLINK("http://www.epingalert.org/#/details/G/TBT/N/USA/1050")</f>
        <v>http://www.epingalert.org/#/details/G/TBT/N/USA/1050</v>
      </c>
      <c r="N300" s="2"/>
      <c r="O300" s="2"/>
    </row>
    <row r="301" spans="1:15" ht="90" outlineLevel="1" x14ac:dyDescent="0.25">
      <c r="A301" s="2" t="s">
        <v>1129</v>
      </c>
      <c r="B301" s="4" t="s">
        <v>2156</v>
      </c>
      <c r="C301" s="2" t="s">
        <v>2157</v>
      </c>
      <c r="D301" s="2" t="s">
        <v>2158</v>
      </c>
      <c r="E301" s="3">
        <v>42325</v>
      </c>
      <c r="F301" s="2" t="s">
        <v>2159</v>
      </c>
      <c r="G301" s="2" t="s">
        <v>2160</v>
      </c>
      <c r="H301" s="2" t="s">
        <v>2161</v>
      </c>
      <c r="I301" s="2"/>
      <c r="J301" s="2" t="str">
        <f>HYPERLINK("https://docs.wto.org/imrd/directdoc.asp?DDFDocuments/t/G/TBTN07/KEN112R1.DOC")</f>
        <v>https://docs.wto.org/imrd/directdoc.asp?DDFDocuments/t/G/TBTN07/KEN112R1.DOC</v>
      </c>
      <c r="K301" s="2" t="str">
        <f>HYPERLINK("https://docs.wto.org/imrd/directdoc.asp?DDFDocuments/u/G/TBTN07/KEN112R1.DOC")</f>
        <v>https://docs.wto.org/imrd/directdoc.asp?DDFDocuments/u/G/TBTN07/KEN112R1.DOC</v>
      </c>
      <c r="L301" s="2" t="str">
        <f>HYPERLINK("https://docs.wto.org/imrd/directdoc.asp?DDFDocuments/v/G/TBTN07/KEN112R1.DOC")</f>
        <v>https://docs.wto.org/imrd/directdoc.asp?DDFDocuments/v/G/TBTN07/KEN112R1.DOC</v>
      </c>
      <c r="M301" s="2" t="str">
        <f>HYPERLINK("http://www.epingalert.org/#/details/G/TBT/N/KEN/112/Rev.1")</f>
        <v>http://www.epingalert.org/#/details/G/TBT/N/KEN/112/Rev.1</v>
      </c>
      <c r="N301" s="2"/>
      <c r="O301" s="2"/>
    </row>
    <row r="302" spans="1:15" ht="90" outlineLevel="1" x14ac:dyDescent="0.25">
      <c r="A302" s="2" t="s">
        <v>77</v>
      </c>
      <c r="B302" s="4" t="s">
        <v>558</v>
      </c>
      <c r="C302" s="2" t="s">
        <v>559</v>
      </c>
      <c r="D302" s="2" t="s">
        <v>560</v>
      </c>
      <c r="E302" s="3">
        <v>42321</v>
      </c>
      <c r="F302" s="2" t="s">
        <v>561</v>
      </c>
      <c r="G302" s="2"/>
      <c r="H302" s="2" t="s">
        <v>24</v>
      </c>
      <c r="I302" s="3">
        <v>42381</v>
      </c>
      <c r="J302" s="2" t="str">
        <f>HYPERLINK("https://docs.wto.org/imrd/directdoc.asp?DDFDocuments/t/G/TBTN15/TPKM222.DOC")</f>
        <v>https://docs.wto.org/imrd/directdoc.asp?DDFDocuments/t/G/TBTN15/TPKM222.DOC</v>
      </c>
      <c r="K302" s="2" t="str">
        <f>HYPERLINK("https://docs.wto.org/imrd/directdoc.asp?DDFDocuments/u/G/TBTN15/TPKM222.DOC")</f>
        <v>https://docs.wto.org/imrd/directdoc.asp?DDFDocuments/u/G/TBTN15/TPKM222.DOC</v>
      </c>
      <c r="L302" s="2" t="str">
        <f>HYPERLINK("https://docs.wto.org/imrd/directdoc.asp?DDFDocuments/v/G/TBTN15/TPKM222.DOC")</f>
        <v>https://docs.wto.org/imrd/directdoc.asp?DDFDocuments/v/G/TBTN15/TPKM222.DOC</v>
      </c>
      <c r="M302" s="2" t="str">
        <f>HYPERLINK("http://www.epingalert.org/#/details/G/TBT/N/TPKM/222")</f>
        <v>http://www.epingalert.org/#/details/G/TBT/N/TPKM/222</v>
      </c>
      <c r="N302" s="2"/>
      <c r="O302" s="2"/>
    </row>
    <row r="303" spans="1:15" ht="120" outlineLevel="1" x14ac:dyDescent="0.25">
      <c r="A303" s="2" t="s">
        <v>173</v>
      </c>
      <c r="B303" s="4" t="s">
        <v>1727</v>
      </c>
      <c r="C303" s="2" t="s">
        <v>1728</v>
      </c>
      <c r="D303" s="2" t="s">
        <v>1729</v>
      </c>
      <c r="E303" s="3">
        <v>42319</v>
      </c>
      <c r="F303" s="2" t="s">
        <v>1730</v>
      </c>
      <c r="G303" s="2"/>
      <c r="H303" s="2" t="s">
        <v>17</v>
      </c>
      <c r="I303" s="3">
        <v>42379</v>
      </c>
      <c r="J303" s="2" t="str">
        <f t="shared" ref="J303:J309" si="18">HYPERLINK("https://docs.wto.org/imrd/directdoc.asp?DDFDocuments/t/G/TBTN15/ARE293.DOC")</f>
        <v>https://docs.wto.org/imrd/directdoc.asp?DDFDocuments/t/G/TBTN15/ARE293.DOC</v>
      </c>
      <c r="K303" s="2" t="str">
        <f t="shared" ref="K303:K309" si="19">HYPERLINK("https://docs.wto.org/imrd/directdoc.asp?DDFDocuments/u/G/TBTN15/ARE293.DOC")</f>
        <v>https://docs.wto.org/imrd/directdoc.asp?DDFDocuments/u/G/TBTN15/ARE293.DOC</v>
      </c>
      <c r="L303" s="2" t="str">
        <f t="shared" ref="L303:L309" si="20">HYPERLINK("https://docs.wto.org/imrd/directdoc.asp?DDFDocuments/v/G/TBTN15/ARE293.DOC")</f>
        <v>https://docs.wto.org/imrd/directdoc.asp?DDFDocuments/v/G/TBTN15/ARE293.DOC</v>
      </c>
      <c r="M303" s="2" t="str">
        <f t="shared" ref="M303:M309" si="21">HYPERLINK("http://www.epingalert.org/#/details/G/TBT/N/ARE/293#G/TBT/N/BHR/421#G/TBT/N/KWT/304#G/TBT/N/OMN/233#G/TBT/N/QAT/418#G/TBT/N/SAU/889#G/TBT/N/YEM/24")</f>
        <v>http://www.epingalert.org/#/details/G/TBT/N/ARE/293#G/TBT/N/BHR/421#G/TBT/N/KWT/304#G/TBT/N/OMN/233#G/TBT/N/QAT/418#G/TBT/N/SAU/889#G/TBT/N/YEM/24</v>
      </c>
      <c r="N303" s="2"/>
      <c r="O303" s="2"/>
    </row>
    <row r="304" spans="1:15" ht="120" outlineLevel="1" x14ac:dyDescent="0.25">
      <c r="A304" s="2" t="s">
        <v>184</v>
      </c>
      <c r="B304" s="4" t="s">
        <v>1727</v>
      </c>
      <c r="C304" s="2" t="s">
        <v>1728</v>
      </c>
      <c r="D304" s="2" t="s">
        <v>1729</v>
      </c>
      <c r="E304" s="3">
        <v>42319</v>
      </c>
      <c r="F304" s="2" t="s">
        <v>1730</v>
      </c>
      <c r="G304" s="2"/>
      <c r="H304" s="2" t="s">
        <v>17</v>
      </c>
      <c r="I304" s="3">
        <v>42379</v>
      </c>
      <c r="J304" s="2" t="str">
        <f t="shared" si="18"/>
        <v>https://docs.wto.org/imrd/directdoc.asp?DDFDocuments/t/G/TBTN15/ARE293.DOC</v>
      </c>
      <c r="K304" s="2" t="str">
        <f t="shared" si="19"/>
        <v>https://docs.wto.org/imrd/directdoc.asp?DDFDocuments/u/G/TBTN15/ARE293.DOC</v>
      </c>
      <c r="L304" s="2" t="str">
        <f t="shared" si="20"/>
        <v>https://docs.wto.org/imrd/directdoc.asp?DDFDocuments/v/G/TBTN15/ARE293.DOC</v>
      </c>
      <c r="M304" s="2" t="str">
        <f t="shared" si="21"/>
        <v>http://www.epingalert.org/#/details/G/TBT/N/ARE/293#G/TBT/N/BHR/421#G/TBT/N/KWT/304#G/TBT/N/OMN/233#G/TBT/N/QAT/418#G/TBT/N/SAU/889#G/TBT/N/YEM/24</v>
      </c>
      <c r="N304" s="2"/>
      <c r="O304" s="2"/>
    </row>
    <row r="305" spans="1:15" ht="120" outlineLevel="1" x14ac:dyDescent="0.25">
      <c r="A305" s="2" t="s">
        <v>144</v>
      </c>
      <c r="B305" s="4" t="s">
        <v>1727</v>
      </c>
      <c r="C305" s="2" t="s">
        <v>1728</v>
      </c>
      <c r="D305" s="2" t="s">
        <v>1731</v>
      </c>
      <c r="E305" s="3">
        <v>42319</v>
      </c>
      <c r="F305" s="2" t="s">
        <v>1730</v>
      </c>
      <c r="G305" s="2"/>
      <c r="H305" s="2" t="s">
        <v>17</v>
      </c>
      <c r="I305" s="3">
        <v>42379</v>
      </c>
      <c r="J305" s="2" t="str">
        <f t="shared" si="18"/>
        <v>https://docs.wto.org/imrd/directdoc.asp?DDFDocuments/t/G/TBTN15/ARE293.DOC</v>
      </c>
      <c r="K305" s="2" t="str">
        <f t="shared" si="19"/>
        <v>https://docs.wto.org/imrd/directdoc.asp?DDFDocuments/u/G/TBTN15/ARE293.DOC</v>
      </c>
      <c r="L305" s="2" t="str">
        <f t="shared" si="20"/>
        <v>https://docs.wto.org/imrd/directdoc.asp?DDFDocuments/v/G/TBTN15/ARE293.DOC</v>
      </c>
      <c r="M305" s="2" t="str">
        <f t="shared" si="21"/>
        <v>http://www.epingalert.org/#/details/G/TBT/N/ARE/293#G/TBT/N/BHR/421#G/TBT/N/KWT/304#G/TBT/N/OMN/233#G/TBT/N/QAT/418#G/TBT/N/SAU/889#G/TBT/N/YEM/24</v>
      </c>
      <c r="N305" s="2"/>
      <c r="O305" s="2"/>
    </row>
    <row r="306" spans="1:15" ht="120" outlineLevel="1" x14ac:dyDescent="0.25">
      <c r="A306" s="2" t="s">
        <v>180</v>
      </c>
      <c r="B306" s="4" t="s">
        <v>1727</v>
      </c>
      <c r="C306" s="2" t="s">
        <v>1728</v>
      </c>
      <c r="D306" s="2" t="s">
        <v>1729</v>
      </c>
      <c r="E306" s="3">
        <v>42319</v>
      </c>
      <c r="F306" s="2" t="s">
        <v>1730</v>
      </c>
      <c r="G306" s="2"/>
      <c r="H306" s="2" t="s">
        <v>17</v>
      </c>
      <c r="I306" s="3">
        <v>42379</v>
      </c>
      <c r="J306" s="2" t="str">
        <f t="shared" si="18"/>
        <v>https://docs.wto.org/imrd/directdoc.asp?DDFDocuments/t/G/TBTN15/ARE293.DOC</v>
      </c>
      <c r="K306" s="2" t="str">
        <f t="shared" si="19"/>
        <v>https://docs.wto.org/imrd/directdoc.asp?DDFDocuments/u/G/TBTN15/ARE293.DOC</v>
      </c>
      <c r="L306" s="2" t="str">
        <f t="shared" si="20"/>
        <v>https://docs.wto.org/imrd/directdoc.asp?DDFDocuments/v/G/TBTN15/ARE293.DOC</v>
      </c>
      <c r="M306" s="2" t="str">
        <f t="shared" si="21"/>
        <v>http://www.epingalert.org/#/details/G/TBT/N/ARE/293#G/TBT/N/BHR/421#G/TBT/N/KWT/304#G/TBT/N/OMN/233#G/TBT/N/QAT/418#G/TBT/N/SAU/889#G/TBT/N/YEM/24</v>
      </c>
      <c r="N306" s="2"/>
      <c r="O306" s="2"/>
    </row>
    <row r="307" spans="1:15" ht="120" outlineLevel="1" x14ac:dyDescent="0.25">
      <c r="A307" s="2" t="s">
        <v>179</v>
      </c>
      <c r="B307" s="4" t="s">
        <v>1727</v>
      </c>
      <c r="C307" s="2" t="s">
        <v>1728</v>
      </c>
      <c r="D307" s="2" t="s">
        <v>1729</v>
      </c>
      <c r="E307" s="3">
        <v>42319</v>
      </c>
      <c r="F307" s="2" t="s">
        <v>1730</v>
      </c>
      <c r="G307" s="2"/>
      <c r="H307" s="2" t="s">
        <v>17</v>
      </c>
      <c r="I307" s="3">
        <v>42379</v>
      </c>
      <c r="J307" s="2" t="str">
        <f t="shared" si="18"/>
        <v>https://docs.wto.org/imrd/directdoc.asp?DDFDocuments/t/G/TBTN15/ARE293.DOC</v>
      </c>
      <c r="K307" s="2" t="str">
        <f t="shared" si="19"/>
        <v>https://docs.wto.org/imrd/directdoc.asp?DDFDocuments/u/G/TBTN15/ARE293.DOC</v>
      </c>
      <c r="L307" s="2" t="str">
        <f t="shared" si="20"/>
        <v>https://docs.wto.org/imrd/directdoc.asp?DDFDocuments/v/G/TBTN15/ARE293.DOC</v>
      </c>
      <c r="M307" s="2" t="str">
        <f t="shared" si="21"/>
        <v>http://www.epingalert.org/#/details/G/TBT/N/ARE/293#G/TBT/N/BHR/421#G/TBT/N/KWT/304#G/TBT/N/OMN/233#G/TBT/N/QAT/418#G/TBT/N/SAU/889#G/TBT/N/YEM/24</v>
      </c>
      <c r="N307" s="2"/>
      <c r="O307" s="2"/>
    </row>
    <row r="308" spans="1:15" ht="120" outlineLevel="1" x14ac:dyDescent="0.25">
      <c r="A308" s="2" t="s">
        <v>181</v>
      </c>
      <c r="B308" s="4" t="s">
        <v>1727</v>
      </c>
      <c r="C308" s="2" t="s">
        <v>1728</v>
      </c>
      <c r="D308" s="2" t="s">
        <v>1729</v>
      </c>
      <c r="E308" s="3">
        <v>42319</v>
      </c>
      <c r="F308" s="2" t="s">
        <v>1730</v>
      </c>
      <c r="G308" s="2"/>
      <c r="H308" s="2" t="s">
        <v>17</v>
      </c>
      <c r="I308" s="3">
        <v>42379</v>
      </c>
      <c r="J308" s="2" t="str">
        <f t="shared" si="18"/>
        <v>https://docs.wto.org/imrd/directdoc.asp?DDFDocuments/t/G/TBTN15/ARE293.DOC</v>
      </c>
      <c r="K308" s="2" t="str">
        <f t="shared" si="19"/>
        <v>https://docs.wto.org/imrd/directdoc.asp?DDFDocuments/u/G/TBTN15/ARE293.DOC</v>
      </c>
      <c r="L308" s="2" t="str">
        <f t="shared" si="20"/>
        <v>https://docs.wto.org/imrd/directdoc.asp?DDFDocuments/v/G/TBTN15/ARE293.DOC</v>
      </c>
      <c r="M308" s="2" t="str">
        <f t="shared" si="21"/>
        <v>http://www.epingalert.org/#/details/G/TBT/N/ARE/293#G/TBT/N/BHR/421#G/TBT/N/KWT/304#G/TBT/N/OMN/233#G/TBT/N/QAT/418#G/TBT/N/SAU/889#G/TBT/N/YEM/24</v>
      </c>
      <c r="N308" s="2"/>
      <c r="O308" s="2"/>
    </row>
    <row r="309" spans="1:15" ht="210" outlineLevel="1" x14ac:dyDescent="0.25">
      <c r="A309" s="2" t="s">
        <v>178</v>
      </c>
      <c r="B309" s="4" t="s">
        <v>1727</v>
      </c>
      <c r="C309" s="2" t="s">
        <v>1732</v>
      </c>
      <c r="D309" s="2" t="s">
        <v>1729</v>
      </c>
      <c r="E309" s="3">
        <v>42319</v>
      </c>
      <c r="F309" s="2" t="s">
        <v>1730</v>
      </c>
      <c r="G309" s="2"/>
      <c r="H309" s="2" t="s">
        <v>571</v>
      </c>
      <c r="I309" s="3">
        <v>42379</v>
      </c>
      <c r="J309" s="2" t="str">
        <f t="shared" si="18"/>
        <v>https://docs.wto.org/imrd/directdoc.asp?DDFDocuments/t/G/TBTN15/ARE293.DOC</v>
      </c>
      <c r="K309" s="2" t="str">
        <f t="shared" si="19"/>
        <v>https://docs.wto.org/imrd/directdoc.asp?DDFDocuments/u/G/TBTN15/ARE293.DOC</v>
      </c>
      <c r="L309" s="2" t="str">
        <f t="shared" si="20"/>
        <v>https://docs.wto.org/imrd/directdoc.asp?DDFDocuments/v/G/TBTN15/ARE293.DOC</v>
      </c>
      <c r="M309" s="2" t="str">
        <f t="shared" si="21"/>
        <v>http://www.epingalert.org/#/details/G/TBT/N/ARE/293#G/TBT/N/BHR/421#G/TBT/N/KWT/304#G/TBT/N/OMN/233#G/TBT/N/QAT/418#G/TBT/N/SAU/889#G/TBT/N/YEM/24</v>
      </c>
      <c r="N309" s="2"/>
      <c r="O309" s="2"/>
    </row>
    <row r="310" spans="1:15" ht="409.5" outlineLevel="1" x14ac:dyDescent="0.25">
      <c r="A310" s="2" t="s">
        <v>562</v>
      </c>
      <c r="B310" s="4" t="s">
        <v>563</v>
      </c>
      <c r="C310" s="2" t="s">
        <v>564</v>
      </c>
      <c r="D310" s="2" t="s">
        <v>565</v>
      </c>
      <c r="E310" s="3">
        <v>42307</v>
      </c>
      <c r="F310" s="2" t="s">
        <v>46</v>
      </c>
      <c r="G310" s="2"/>
      <c r="H310" s="2" t="s">
        <v>17</v>
      </c>
      <c r="I310" s="3">
        <v>42367</v>
      </c>
      <c r="J310" s="2" t="str">
        <f>HYPERLINK("https://docs.wto.org/imrd/directdoc.asp?DDFDocuments/t/G/TBTN15/SGP25.DOC")</f>
        <v>https://docs.wto.org/imrd/directdoc.asp?DDFDocuments/t/G/TBTN15/SGP25.DOC</v>
      </c>
      <c r="K310" s="2" t="str">
        <f>HYPERLINK("https://docs.wto.org/imrd/directdoc.asp?DDFDocuments/u/G/TBTN15/SGP25.DOC")</f>
        <v>https://docs.wto.org/imrd/directdoc.asp?DDFDocuments/u/G/TBTN15/SGP25.DOC</v>
      </c>
      <c r="L310" s="2" t="str">
        <f>HYPERLINK("https://docs.wto.org/imrd/directdoc.asp?DDFDocuments/v/G/TBTN15/SGP25.DOC")</f>
        <v>https://docs.wto.org/imrd/directdoc.asp?DDFDocuments/v/G/TBTN15/SGP25.DOC</v>
      </c>
      <c r="M310" s="2" t="str">
        <f>HYPERLINK("http://www.epingalert.org/#/details/G/TBT/N/SGP/25")</f>
        <v>http://www.epingalert.org/#/details/G/TBT/N/SGP/25</v>
      </c>
      <c r="N310" s="2"/>
      <c r="O310" s="2"/>
    </row>
    <row r="311" spans="1:15" ht="120" outlineLevel="1" x14ac:dyDescent="0.25">
      <c r="A311" s="2" t="s">
        <v>1129</v>
      </c>
      <c r="B311" s="4" t="s">
        <v>2162</v>
      </c>
      <c r="C311" s="2" t="s">
        <v>2163</v>
      </c>
      <c r="D311" s="2" t="s">
        <v>2164</v>
      </c>
      <c r="E311" s="3">
        <v>42306</v>
      </c>
      <c r="F311" s="2" t="s">
        <v>2165</v>
      </c>
      <c r="G311" s="2" t="s">
        <v>2166</v>
      </c>
      <c r="H311" s="2" t="s">
        <v>2161</v>
      </c>
      <c r="I311" s="3">
        <v>42305</v>
      </c>
      <c r="J311" s="2" t="str">
        <f>HYPERLINK("https://docs.wto.org/imrd/directdoc.asp?DDFDocuments/t/G/TBTN15/KEN451.DOC")</f>
        <v>https://docs.wto.org/imrd/directdoc.asp?DDFDocuments/t/G/TBTN15/KEN451.DOC</v>
      </c>
      <c r="K311" s="2" t="str">
        <f>HYPERLINK("https://docs.wto.org/imrd/directdoc.asp?DDFDocuments/u/G/TBTN15/KEN451.DOC")</f>
        <v>https://docs.wto.org/imrd/directdoc.asp?DDFDocuments/u/G/TBTN15/KEN451.DOC</v>
      </c>
      <c r="L311" s="2" t="str">
        <f>HYPERLINK("https://docs.wto.org/imrd/directdoc.asp?DDFDocuments/v/G/TBTN15/KEN451.DOC")</f>
        <v>https://docs.wto.org/imrd/directdoc.asp?DDFDocuments/v/G/TBTN15/KEN451.DOC</v>
      </c>
      <c r="M311" s="2" t="str">
        <f>HYPERLINK("http://www.epingalert.org/#/details/G/TBT/N/KEN/451")</f>
        <v>http://www.epingalert.org/#/details/G/TBT/N/KEN/451</v>
      </c>
      <c r="N311" s="2"/>
      <c r="O311" s="2"/>
    </row>
    <row r="312" spans="1:15" ht="90" outlineLevel="1" x14ac:dyDescent="0.25">
      <c r="A312" s="2" t="s">
        <v>1129</v>
      </c>
      <c r="B312" s="4" t="s">
        <v>2167</v>
      </c>
      <c r="C312" s="2" t="s">
        <v>2168</v>
      </c>
      <c r="D312" s="2" t="s">
        <v>2158</v>
      </c>
      <c r="E312" s="3">
        <v>42306</v>
      </c>
      <c r="F312" s="2" t="s">
        <v>2169</v>
      </c>
      <c r="G312" s="2" t="s">
        <v>2166</v>
      </c>
      <c r="H312" s="2" t="s">
        <v>2161</v>
      </c>
      <c r="I312" s="3">
        <v>42305</v>
      </c>
      <c r="J312" s="2" t="str">
        <f>HYPERLINK("https://docs.wto.org/imrd/directdoc.asp?DDFDocuments/t/G/TBTN15/KEN452.DOC")</f>
        <v>https://docs.wto.org/imrd/directdoc.asp?DDFDocuments/t/G/TBTN15/KEN452.DOC</v>
      </c>
      <c r="K312" s="2" t="str">
        <f>HYPERLINK("https://docs.wto.org/imrd/directdoc.asp?DDFDocuments/u/G/TBTN15/KEN452.DOC")</f>
        <v>https://docs.wto.org/imrd/directdoc.asp?DDFDocuments/u/G/TBTN15/KEN452.DOC</v>
      </c>
      <c r="L312" s="2" t="str">
        <f>HYPERLINK("https://docs.wto.org/imrd/directdoc.asp?DDFDocuments/v/G/TBTN15/KEN452.DOC")</f>
        <v>https://docs.wto.org/imrd/directdoc.asp?DDFDocuments/v/G/TBTN15/KEN452.DOC</v>
      </c>
      <c r="M312" s="2" t="str">
        <f>HYPERLINK("http://www.epingalert.org/#/details/G/TBT/N/KEN/452")</f>
        <v>http://www.epingalert.org/#/details/G/TBT/N/KEN/452</v>
      </c>
      <c r="N312" s="2"/>
      <c r="O312" s="2"/>
    </row>
    <row r="313" spans="1:15" ht="120" outlineLevel="1" x14ac:dyDescent="0.25">
      <c r="A313" s="2" t="s">
        <v>184</v>
      </c>
      <c r="B313" s="4" t="s">
        <v>566</v>
      </c>
      <c r="C313" s="2" t="s">
        <v>567</v>
      </c>
      <c r="D313" s="2" t="s">
        <v>568</v>
      </c>
      <c r="E313" s="3">
        <v>42300</v>
      </c>
      <c r="F313" s="2" t="s">
        <v>569</v>
      </c>
      <c r="G313" s="2"/>
      <c r="H313" s="2" t="s">
        <v>17</v>
      </c>
      <c r="I313" s="3">
        <v>42360</v>
      </c>
      <c r="J313" s="2" t="str">
        <f t="shared" ref="J313:J319" si="22">HYPERLINK("https://docs.wto.org/imrd/directdoc.asp?DDFDocuments/t/G/TBTN15/ARE283.DOC")</f>
        <v>https://docs.wto.org/imrd/directdoc.asp?DDFDocuments/t/G/TBTN15/ARE283.DOC</v>
      </c>
      <c r="K313" s="2" t="str">
        <f t="shared" ref="K313:K319" si="23">HYPERLINK("https://docs.wto.org/imrd/directdoc.asp?DDFDocuments/u/G/TBTN15/ARE283.DOC")</f>
        <v>https://docs.wto.org/imrd/directdoc.asp?DDFDocuments/u/G/TBTN15/ARE283.DOC</v>
      </c>
      <c r="L313" s="2" t="str">
        <f t="shared" ref="L313:L319" si="24">HYPERLINK("https://docs.wto.org/imrd/directdoc.asp?DDFDocuments/v/G/TBTN15/ARE283.DOC")</f>
        <v>https://docs.wto.org/imrd/directdoc.asp?DDFDocuments/v/G/TBTN15/ARE283.DOC</v>
      </c>
      <c r="M313" s="2" t="str">
        <f t="shared" ref="M313:M319" si="25">HYPERLINK("http://www.epingalert.org/#/details/G/TBT/N/ARE/283#G/TBT/N/BHR/411#G/TBT/N/KWT/294#G/TBT/N/OMN/223#G/TBT/N/QAT/408#G/TBT/N/SAU/878#G/TBT/N/YEM/14")</f>
        <v>http://www.epingalert.org/#/details/G/TBT/N/ARE/283#G/TBT/N/BHR/411#G/TBT/N/KWT/294#G/TBT/N/OMN/223#G/TBT/N/QAT/408#G/TBT/N/SAU/878#G/TBT/N/YEM/14</v>
      </c>
      <c r="N313" s="2"/>
      <c r="O313" s="2"/>
    </row>
    <row r="314" spans="1:15" ht="120" outlineLevel="1" x14ac:dyDescent="0.25">
      <c r="A314" s="2" t="s">
        <v>179</v>
      </c>
      <c r="B314" s="4" t="s">
        <v>566</v>
      </c>
      <c r="C314" s="2" t="s">
        <v>567</v>
      </c>
      <c r="D314" s="2" t="s">
        <v>568</v>
      </c>
      <c r="E314" s="3">
        <v>42300</v>
      </c>
      <c r="F314" s="2" t="s">
        <v>569</v>
      </c>
      <c r="G314" s="2"/>
      <c r="H314" s="2" t="s">
        <v>17</v>
      </c>
      <c r="I314" s="3">
        <v>42360</v>
      </c>
      <c r="J314" s="2" t="str">
        <f t="shared" si="22"/>
        <v>https://docs.wto.org/imrd/directdoc.asp?DDFDocuments/t/G/TBTN15/ARE283.DOC</v>
      </c>
      <c r="K314" s="2" t="str">
        <f t="shared" si="23"/>
        <v>https://docs.wto.org/imrd/directdoc.asp?DDFDocuments/u/G/TBTN15/ARE283.DOC</v>
      </c>
      <c r="L314" s="2" t="str">
        <f t="shared" si="24"/>
        <v>https://docs.wto.org/imrd/directdoc.asp?DDFDocuments/v/G/TBTN15/ARE283.DOC</v>
      </c>
      <c r="M314" s="2" t="str">
        <f t="shared" si="25"/>
        <v>http://www.epingalert.org/#/details/G/TBT/N/ARE/283#G/TBT/N/BHR/411#G/TBT/N/KWT/294#G/TBT/N/OMN/223#G/TBT/N/QAT/408#G/TBT/N/SAU/878#G/TBT/N/YEM/14</v>
      </c>
      <c r="N314" s="2"/>
      <c r="O314" s="2"/>
    </row>
    <row r="315" spans="1:15" ht="120" outlineLevel="1" x14ac:dyDescent="0.25">
      <c r="A315" s="2" t="s">
        <v>144</v>
      </c>
      <c r="B315" s="4" t="s">
        <v>566</v>
      </c>
      <c r="C315" s="2" t="s">
        <v>567</v>
      </c>
      <c r="D315" s="2" t="s">
        <v>568</v>
      </c>
      <c r="E315" s="3">
        <v>42300</v>
      </c>
      <c r="F315" s="2" t="s">
        <v>569</v>
      </c>
      <c r="G315" s="2"/>
      <c r="H315" s="2" t="s">
        <v>17</v>
      </c>
      <c r="I315" s="3">
        <v>42360</v>
      </c>
      <c r="J315" s="2" t="str">
        <f t="shared" si="22"/>
        <v>https://docs.wto.org/imrd/directdoc.asp?DDFDocuments/t/G/TBTN15/ARE283.DOC</v>
      </c>
      <c r="K315" s="2" t="str">
        <f t="shared" si="23"/>
        <v>https://docs.wto.org/imrd/directdoc.asp?DDFDocuments/u/G/TBTN15/ARE283.DOC</v>
      </c>
      <c r="L315" s="2" t="str">
        <f t="shared" si="24"/>
        <v>https://docs.wto.org/imrd/directdoc.asp?DDFDocuments/v/G/TBTN15/ARE283.DOC</v>
      </c>
      <c r="M315" s="2" t="str">
        <f t="shared" si="25"/>
        <v>http://www.epingalert.org/#/details/G/TBT/N/ARE/283#G/TBT/N/BHR/411#G/TBT/N/KWT/294#G/TBT/N/OMN/223#G/TBT/N/QAT/408#G/TBT/N/SAU/878#G/TBT/N/YEM/14</v>
      </c>
      <c r="N315" s="2"/>
      <c r="O315" s="2"/>
    </row>
    <row r="316" spans="1:15" ht="120" outlineLevel="1" x14ac:dyDescent="0.25">
      <c r="A316" s="2" t="s">
        <v>178</v>
      </c>
      <c r="B316" s="4" t="s">
        <v>566</v>
      </c>
      <c r="C316" s="2" t="s">
        <v>567</v>
      </c>
      <c r="D316" s="2" t="s">
        <v>568</v>
      </c>
      <c r="E316" s="3">
        <v>42300</v>
      </c>
      <c r="F316" s="2" t="s">
        <v>569</v>
      </c>
      <c r="G316" s="2"/>
      <c r="H316" s="2" t="s">
        <v>17</v>
      </c>
      <c r="I316" s="3">
        <v>42360</v>
      </c>
      <c r="J316" s="2" t="str">
        <f t="shared" si="22"/>
        <v>https://docs.wto.org/imrd/directdoc.asp?DDFDocuments/t/G/TBTN15/ARE283.DOC</v>
      </c>
      <c r="K316" s="2" t="str">
        <f t="shared" si="23"/>
        <v>https://docs.wto.org/imrd/directdoc.asp?DDFDocuments/u/G/TBTN15/ARE283.DOC</v>
      </c>
      <c r="L316" s="2" t="str">
        <f t="shared" si="24"/>
        <v>https://docs.wto.org/imrd/directdoc.asp?DDFDocuments/v/G/TBTN15/ARE283.DOC</v>
      </c>
      <c r="M316" s="2" t="str">
        <f t="shared" si="25"/>
        <v>http://www.epingalert.org/#/details/G/TBT/N/ARE/283#G/TBT/N/BHR/411#G/TBT/N/KWT/294#G/TBT/N/OMN/223#G/TBT/N/QAT/408#G/TBT/N/SAU/878#G/TBT/N/YEM/14</v>
      </c>
      <c r="N316" s="2"/>
      <c r="O316" s="2"/>
    </row>
    <row r="317" spans="1:15" ht="120" outlineLevel="1" x14ac:dyDescent="0.25">
      <c r="A317" s="2" t="s">
        <v>181</v>
      </c>
      <c r="B317" s="4" t="s">
        <v>566</v>
      </c>
      <c r="C317" s="2" t="s">
        <v>567</v>
      </c>
      <c r="D317" s="2" t="s">
        <v>568</v>
      </c>
      <c r="E317" s="3">
        <v>42300</v>
      </c>
      <c r="F317" s="2" t="s">
        <v>569</v>
      </c>
      <c r="G317" s="2"/>
      <c r="H317" s="2" t="s">
        <v>17</v>
      </c>
      <c r="I317" s="3">
        <v>42360</v>
      </c>
      <c r="J317" s="2" t="str">
        <f t="shared" si="22"/>
        <v>https://docs.wto.org/imrd/directdoc.asp?DDFDocuments/t/G/TBTN15/ARE283.DOC</v>
      </c>
      <c r="K317" s="2" t="str">
        <f t="shared" si="23"/>
        <v>https://docs.wto.org/imrd/directdoc.asp?DDFDocuments/u/G/TBTN15/ARE283.DOC</v>
      </c>
      <c r="L317" s="2" t="str">
        <f t="shared" si="24"/>
        <v>https://docs.wto.org/imrd/directdoc.asp?DDFDocuments/v/G/TBTN15/ARE283.DOC</v>
      </c>
      <c r="M317" s="2" t="str">
        <f t="shared" si="25"/>
        <v>http://www.epingalert.org/#/details/G/TBT/N/ARE/283#G/TBT/N/BHR/411#G/TBT/N/KWT/294#G/TBT/N/OMN/223#G/TBT/N/QAT/408#G/TBT/N/SAU/878#G/TBT/N/YEM/14</v>
      </c>
      <c r="N317" s="2"/>
      <c r="O317" s="2"/>
    </row>
    <row r="318" spans="1:15" ht="120" outlineLevel="1" x14ac:dyDescent="0.25">
      <c r="A318" s="2" t="s">
        <v>180</v>
      </c>
      <c r="B318" s="4" t="s">
        <v>566</v>
      </c>
      <c r="C318" s="2" t="s">
        <v>567</v>
      </c>
      <c r="D318" s="2" t="s">
        <v>568</v>
      </c>
      <c r="E318" s="3">
        <v>42300</v>
      </c>
      <c r="F318" s="2" t="s">
        <v>569</v>
      </c>
      <c r="G318" s="2"/>
      <c r="H318" s="2" t="s">
        <v>17</v>
      </c>
      <c r="I318" s="3">
        <v>42360</v>
      </c>
      <c r="J318" s="2" t="str">
        <f t="shared" si="22"/>
        <v>https://docs.wto.org/imrd/directdoc.asp?DDFDocuments/t/G/TBTN15/ARE283.DOC</v>
      </c>
      <c r="K318" s="2" t="str">
        <f t="shared" si="23"/>
        <v>https://docs.wto.org/imrd/directdoc.asp?DDFDocuments/u/G/TBTN15/ARE283.DOC</v>
      </c>
      <c r="L318" s="2" t="str">
        <f t="shared" si="24"/>
        <v>https://docs.wto.org/imrd/directdoc.asp?DDFDocuments/v/G/TBTN15/ARE283.DOC</v>
      </c>
      <c r="M318" s="2" t="str">
        <f t="shared" si="25"/>
        <v>http://www.epingalert.org/#/details/G/TBT/N/ARE/283#G/TBT/N/BHR/411#G/TBT/N/KWT/294#G/TBT/N/OMN/223#G/TBT/N/QAT/408#G/TBT/N/SAU/878#G/TBT/N/YEM/14</v>
      </c>
      <c r="N318" s="2"/>
      <c r="O318" s="2"/>
    </row>
    <row r="319" spans="1:15" ht="210" outlineLevel="1" x14ac:dyDescent="0.25">
      <c r="A319" s="2" t="s">
        <v>173</v>
      </c>
      <c r="B319" s="4" t="s">
        <v>566</v>
      </c>
      <c r="C319" s="2" t="s">
        <v>567</v>
      </c>
      <c r="D319" s="2" t="s">
        <v>570</v>
      </c>
      <c r="E319" s="3">
        <v>42300</v>
      </c>
      <c r="F319" s="2" t="s">
        <v>569</v>
      </c>
      <c r="G319" s="2"/>
      <c r="H319" s="2" t="s">
        <v>571</v>
      </c>
      <c r="I319" s="3">
        <v>42360</v>
      </c>
      <c r="J319" s="2" t="str">
        <f t="shared" si="22"/>
        <v>https://docs.wto.org/imrd/directdoc.asp?DDFDocuments/t/G/TBTN15/ARE283.DOC</v>
      </c>
      <c r="K319" s="2" t="str">
        <f t="shared" si="23"/>
        <v>https://docs.wto.org/imrd/directdoc.asp?DDFDocuments/u/G/TBTN15/ARE283.DOC</v>
      </c>
      <c r="L319" s="2" t="str">
        <f t="shared" si="24"/>
        <v>https://docs.wto.org/imrd/directdoc.asp?DDFDocuments/v/G/TBTN15/ARE283.DOC</v>
      </c>
      <c r="M319" s="2" t="str">
        <f t="shared" si="25"/>
        <v>http://www.epingalert.org/#/details/G/TBT/N/ARE/283#G/TBT/N/BHR/411#G/TBT/N/KWT/294#G/TBT/N/OMN/223#G/TBT/N/QAT/408#G/TBT/N/SAU/878#G/TBT/N/YEM/14</v>
      </c>
      <c r="N319" s="2"/>
      <c r="O319" s="2"/>
    </row>
    <row r="320" spans="1:15" ht="120" outlineLevel="1" x14ac:dyDescent="0.25">
      <c r="A320" s="2" t="s">
        <v>179</v>
      </c>
      <c r="B320" s="4" t="s">
        <v>1520</v>
      </c>
      <c r="C320" s="2" t="s">
        <v>1521</v>
      </c>
      <c r="D320" s="2" t="s">
        <v>1522</v>
      </c>
      <c r="E320" s="3">
        <v>42300</v>
      </c>
      <c r="F320" s="2" t="s">
        <v>1523</v>
      </c>
      <c r="G320" s="2"/>
      <c r="H320" s="2" t="s">
        <v>17</v>
      </c>
      <c r="I320" s="3">
        <v>42360</v>
      </c>
      <c r="J320" s="2" t="str">
        <f t="shared" ref="J320:J326" si="26">HYPERLINK("https://docs.wto.org/imrd/directdoc.asp?DDFDocuments/t/G/TBTN15/ARE282.DOC")</f>
        <v>https://docs.wto.org/imrd/directdoc.asp?DDFDocuments/t/G/TBTN15/ARE282.DOC</v>
      </c>
      <c r="K320" s="2" t="str">
        <f t="shared" ref="K320:K326" si="27">HYPERLINK("https://docs.wto.org/imrd/directdoc.asp?DDFDocuments/u/G/TBTN15/ARE282.DOC")</f>
        <v>https://docs.wto.org/imrd/directdoc.asp?DDFDocuments/u/G/TBTN15/ARE282.DOC</v>
      </c>
      <c r="L320" s="2" t="str">
        <f t="shared" ref="L320:L326" si="28">HYPERLINK("https://docs.wto.org/imrd/directdoc.asp?DDFDocuments/v/G/TBTN15/ARE282.DOC")</f>
        <v>https://docs.wto.org/imrd/directdoc.asp?DDFDocuments/v/G/TBTN15/ARE282.DOC</v>
      </c>
      <c r="M320" s="2" t="str">
        <f t="shared" ref="M320:M326" si="29">HYPERLINK("http://www.epingalert.org/#/details/G/TBT/N/ARE/282#G/TBT/N/BHR/410#G/TBT/N/KWT/293#G/TBT/N/OMN/222#G/TBT/N/QAT/407#G/TBT/N/SAU/877#G/TBT/N/YEM/13")</f>
        <v>http://www.epingalert.org/#/details/G/TBT/N/ARE/282#G/TBT/N/BHR/410#G/TBT/N/KWT/293#G/TBT/N/OMN/222#G/TBT/N/QAT/407#G/TBT/N/SAU/877#G/TBT/N/YEM/13</v>
      </c>
      <c r="N320" s="2"/>
      <c r="O320" s="2"/>
    </row>
    <row r="321" spans="1:15" ht="120" outlineLevel="1" x14ac:dyDescent="0.25">
      <c r="A321" s="2" t="s">
        <v>144</v>
      </c>
      <c r="B321" s="4" t="s">
        <v>1520</v>
      </c>
      <c r="C321" s="2" t="s">
        <v>1521</v>
      </c>
      <c r="D321" s="2" t="s">
        <v>1522</v>
      </c>
      <c r="E321" s="3">
        <v>42300</v>
      </c>
      <c r="F321" s="2" t="s">
        <v>1523</v>
      </c>
      <c r="G321" s="2"/>
      <c r="H321" s="2" t="s">
        <v>17</v>
      </c>
      <c r="I321" s="3">
        <v>42360</v>
      </c>
      <c r="J321" s="2" t="str">
        <f t="shared" si="26"/>
        <v>https://docs.wto.org/imrd/directdoc.asp?DDFDocuments/t/G/TBTN15/ARE282.DOC</v>
      </c>
      <c r="K321" s="2" t="str">
        <f t="shared" si="27"/>
        <v>https://docs.wto.org/imrd/directdoc.asp?DDFDocuments/u/G/TBTN15/ARE282.DOC</v>
      </c>
      <c r="L321" s="2" t="str">
        <f t="shared" si="28"/>
        <v>https://docs.wto.org/imrd/directdoc.asp?DDFDocuments/v/G/TBTN15/ARE282.DOC</v>
      </c>
      <c r="M321" s="2" t="str">
        <f t="shared" si="29"/>
        <v>http://www.epingalert.org/#/details/G/TBT/N/ARE/282#G/TBT/N/BHR/410#G/TBT/N/KWT/293#G/TBT/N/OMN/222#G/TBT/N/QAT/407#G/TBT/N/SAU/877#G/TBT/N/YEM/13</v>
      </c>
      <c r="N321" s="2"/>
      <c r="O321" s="2"/>
    </row>
    <row r="322" spans="1:15" ht="120" outlineLevel="1" x14ac:dyDescent="0.25">
      <c r="A322" s="2" t="s">
        <v>178</v>
      </c>
      <c r="B322" s="4" t="s">
        <v>1520</v>
      </c>
      <c r="C322" s="2" t="s">
        <v>1521</v>
      </c>
      <c r="D322" s="2" t="s">
        <v>1522</v>
      </c>
      <c r="E322" s="3">
        <v>42300</v>
      </c>
      <c r="F322" s="2" t="s">
        <v>1523</v>
      </c>
      <c r="G322" s="2"/>
      <c r="H322" s="2" t="s">
        <v>17</v>
      </c>
      <c r="I322" s="3">
        <v>42360</v>
      </c>
      <c r="J322" s="2" t="str">
        <f t="shared" si="26"/>
        <v>https://docs.wto.org/imrd/directdoc.asp?DDFDocuments/t/G/TBTN15/ARE282.DOC</v>
      </c>
      <c r="K322" s="2" t="str">
        <f t="shared" si="27"/>
        <v>https://docs.wto.org/imrd/directdoc.asp?DDFDocuments/u/G/TBTN15/ARE282.DOC</v>
      </c>
      <c r="L322" s="2" t="str">
        <f t="shared" si="28"/>
        <v>https://docs.wto.org/imrd/directdoc.asp?DDFDocuments/v/G/TBTN15/ARE282.DOC</v>
      </c>
      <c r="M322" s="2" t="str">
        <f t="shared" si="29"/>
        <v>http://www.epingalert.org/#/details/G/TBT/N/ARE/282#G/TBT/N/BHR/410#G/TBT/N/KWT/293#G/TBT/N/OMN/222#G/TBT/N/QAT/407#G/TBT/N/SAU/877#G/TBT/N/YEM/13</v>
      </c>
      <c r="N322" s="2"/>
      <c r="O322" s="2"/>
    </row>
    <row r="323" spans="1:15" ht="120" outlineLevel="1" x14ac:dyDescent="0.25">
      <c r="A323" s="2" t="s">
        <v>181</v>
      </c>
      <c r="B323" s="4" t="s">
        <v>1520</v>
      </c>
      <c r="C323" s="2" t="s">
        <v>1521</v>
      </c>
      <c r="D323" s="2" t="s">
        <v>1522</v>
      </c>
      <c r="E323" s="3">
        <v>42300</v>
      </c>
      <c r="F323" s="2" t="s">
        <v>1523</v>
      </c>
      <c r="G323" s="2"/>
      <c r="H323" s="2" t="s">
        <v>17</v>
      </c>
      <c r="I323" s="3">
        <v>42360</v>
      </c>
      <c r="J323" s="2" t="str">
        <f t="shared" si="26"/>
        <v>https://docs.wto.org/imrd/directdoc.asp?DDFDocuments/t/G/TBTN15/ARE282.DOC</v>
      </c>
      <c r="K323" s="2" t="str">
        <f t="shared" si="27"/>
        <v>https://docs.wto.org/imrd/directdoc.asp?DDFDocuments/u/G/TBTN15/ARE282.DOC</v>
      </c>
      <c r="L323" s="2" t="str">
        <f t="shared" si="28"/>
        <v>https://docs.wto.org/imrd/directdoc.asp?DDFDocuments/v/G/TBTN15/ARE282.DOC</v>
      </c>
      <c r="M323" s="2" t="str">
        <f t="shared" si="29"/>
        <v>http://www.epingalert.org/#/details/G/TBT/N/ARE/282#G/TBT/N/BHR/410#G/TBT/N/KWT/293#G/TBT/N/OMN/222#G/TBT/N/QAT/407#G/TBT/N/SAU/877#G/TBT/N/YEM/13</v>
      </c>
      <c r="N323" s="2"/>
      <c r="O323" s="2"/>
    </row>
    <row r="324" spans="1:15" ht="120" outlineLevel="1" x14ac:dyDescent="0.25">
      <c r="A324" s="2" t="s">
        <v>180</v>
      </c>
      <c r="B324" s="4" t="s">
        <v>1520</v>
      </c>
      <c r="C324" s="2" t="s">
        <v>1521</v>
      </c>
      <c r="D324" s="2" t="s">
        <v>1522</v>
      </c>
      <c r="E324" s="3">
        <v>42300</v>
      </c>
      <c r="F324" s="2" t="s">
        <v>1523</v>
      </c>
      <c r="G324" s="2"/>
      <c r="H324" s="2" t="s">
        <v>17</v>
      </c>
      <c r="I324" s="3">
        <v>42360</v>
      </c>
      <c r="J324" s="2" t="str">
        <f t="shared" si="26"/>
        <v>https://docs.wto.org/imrd/directdoc.asp?DDFDocuments/t/G/TBTN15/ARE282.DOC</v>
      </c>
      <c r="K324" s="2" t="str">
        <f t="shared" si="27"/>
        <v>https://docs.wto.org/imrd/directdoc.asp?DDFDocuments/u/G/TBTN15/ARE282.DOC</v>
      </c>
      <c r="L324" s="2" t="str">
        <f t="shared" si="28"/>
        <v>https://docs.wto.org/imrd/directdoc.asp?DDFDocuments/v/G/TBTN15/ARE282.DOC</v>
      </c>
      <c r="M324" s="2" t="str">
        <f t="shared" si="29"/>
        <v>http://www.epingalert.org/#/details/G/TBT/N/ARE/282#G/TBT/N/BHR/410#G/TBT/N/KWT/293#G/TBT/N/OMN/222#G/TBT/N/QAT/407#G/TBT/N/SAU/877#G/TBT/N/YEM/13</v>
      </c>
      <c r="N324" s="2"/>
      <c r="O324" s="2"/>
    </row>
    <row r="325" spans="1:15" ht="120" outlineLevel="1" x14ac:dyDescent="0.25">
      <c r="A325" s="2" t="s">
        <v>173</v>
      </c>
      <c r="B325" s="4" t="s">
        <v>1520</v>
      </c>
      <c r="C325" s="2" t="s">
        <v>1524</v>
      </c>
      <c r="D325" s="2" t="s">
        <v>1522</v>
      </c>
      <c r="E325" s="3">
        <v>42300</v>
      </c>
      <c r="F325" s="2" t="s">
        <v>1523</v>
      </c>
      <c r="G325" s="2"/>
      <c r="H325" s="2" t="s">
        <v>17</v>
      </c>
      <c r="I325" s="3">
        <v>42360</v>
      </c>
      <c r="J325" s="2" t="str">
        <f t="shared" si="26"/>
        <v>https://docs.wto.org/imrd/directdoc.asp?DDFDocuments/t/G/TBTN15/ARE282.DOC</v>
      </c>
      <c r="K325" s="2" t="str">
        <f t="shared" si="27"/>
        <v>https://docs.wto.org/imrd/directdoc.asp?DDFDocuments/u/G/TBTN15/ARE282.DOC</v>
      </c>
      <c r="L325" s="2" t="str">
        <f t="shared" si="28"/>
        <v>https://docs.wto.org/imrd/directdoc.asp?DDFDocuments/v/G/TBTN15/ARE282.DOC</v>
      </c>
      <c r="M325" s="2" t="str">
        <f t="shared" si="29"/>
        <v>http://www.epingalert.org/#/details/G/TBT/N/ARE/282#G/TBT/N/BHR/410#G/TBT/N/KWT/293#G/TBT/N/OMN/222#G/TBT/N/QAT/407#G/TBT/N/SAU/877#G/TBT/N/YEM/13</v>
      </c>
      <c r="N325" s="2"/>
      <c r="O325" s="2"/>
    </row>
    <row r="326" spans="1:15" ht="210" outlineLevel="1" x14ac:dyDescent="0.25">
      <c r="A326" s="2" t="s">
        <v>184</v>
      </c>
      <c r="B326" s="4" t="s">
        <v>1520</v>
      </c>
      <c r="C326" s="2" t="s">
        <v>1521</v>
      </c>
      <c r="D326" s="2" t="s">
        <v>1522</v>
      </c>
      <c r="E326" s="3">
        <v>42300</v>
      </c>
      <c r="F326" s="2" t="s">
        <v>1523</v>
      </c>
      <c r="G326" s="2"/>
      <c r="H326" s="2" t="s">
        <v>571</v>
      </c>
      <c r="I326" s="3">
        <v>42360</v>
      </c>
      <c r="J326" s="2" t="str">
        <f t="shared" si="26"/>
        <v>https://docs.wto.org/imrd/directdoc.asp?DDFDocuments/t/G/TBTN15/ARE282.DOC</v>
      </c>
      <c r="K326" s="2" t="str">
        <f t="shared" si="27"/>
        <v>https://docs.wto.org/imrd/directdoc.asp?DDFDocuments/u/G/TBTN15/ARE282.DOC</v>
      </c>
      <c r="L326" s="2" t="str">
        <f t="shared" si="28"/>
        <v>https://docs.wto.org/imrd/directdoc.asp?DDFDocuments/v/G/TBTN15/ARE282.DOC</v>
      </c>
      <c r="M326" s="2" t="str">
        <f t="shared" si="29"/>
        <v>http://www.epingalert.org/#/details/G/TBT/N/ARE/282#G/TBT/N/BHR/410#G/TBT/N/KWT/293#G/TBT/N/OMN/222#G/TBT/N/QAT/407#G/TBT/N/SAU/877#G/TBT/N/YEM/13</v>
      </c>
      <c r="N326" s="2"/>
      <c r="O326" s="2"/>
    </row>
    <row r="327" spans="1:15" ht="60" outlineLevel="1" x14ac:dyDescent="0.25">
      <c r="A327" s="2" t="s">
        <v>572</v>
      </c>
      <c r="B327" s="4" t="s">
        <v>573</v>
      </c>
      <c r="C327" s="2" t="s">
        <v>574</v>
      </c>
      <c r="D327" s="2"/>
      <c r="E327" s="3">
        <v>42299</v>
      </c>
      <c r="F327" s="2"/>
      <c r="G327" s="2" t="s">
        <v>370</v>
      </c>
      <c r="H327" s="2" t="s">
        <v>17</v>
      </c>
      <c r="I327" s="3">
        <v>42359</v>
      </c>
      <c r="J327" s="2" t="str">
        <f>HYPERLINK("https://docs.wto.org/imrd/directdoc.asp?DDFDocuments/t/G/TBTN15/BOL3.DOC")</f>
        <v>https://docs.wto.org/imrd/directdoc.asp?DDFDocuments/t/G/TBTN15/BOL3.DOC</v>
      </c>
      <c r="K327" s="2" t="str">
        <f>HYPERLINK("https://docs.wto.org/imrd/directdoc.asp?DDFDocuments/u/G/TBTN15/BOL3.DOC")</f>
        <v>https://docs.wto.org/imrd/directdoc.asp?DDFDocuments/u/G/TBTN15/BOL3.DOC</v>
      </c>
      <c r="L327" s="2" t="str">
        <f>HYPERLINK("https://docs.wto.org/imrd/directdoc.asp?DDFDocuments/v/G/TBTN15/BOL3.DOC")</f>
        <v>https://docs.wto.org/imrd/directdoc.asp?DDFDocuments/v/G/TBTN15/BOL3.DOC</v>
      </c>
      <c r="M327" s="2" t="str">
        <f>HYPERLINK("http://www.epingalert.org/#/details/G/TBT/N/BOL/3")</f>
        <v>http://www.epingalert.org/#/details/G/TBT/N/BOL/3</v>
      </c>
      <c r="N327" s="2"/>
      <c r="O327" s="2"/>
    </row>
    <row r="328" spans="1:15" ht="120" outlineLevel="1" x14ac:dyDescent="0.25">
      <c r="A328" s="2" t="s">
        <v>312</v>
      </c>
      <c r="B328" s="4" t="s">
        <v>2170</v>
      </c>
      <c r="C328" s="2" t="s">
        <v>2171</v>
      </c>
      <c r="D328" s="2" t="s">
        <v>2172</v>
      </c>
      <c r="E328" s="3">
        <v>42299</v>
      </c>
      <c r="F328" s="2" t="s">
        <v>2173</v>
      </c>
      <c r="G328" s="2" t="s">
        <v>2174</v>
      </c>
      <c r="H328" s="2" t="s">
        <v>198</v>
      </c>
      <c r="I328" s="3">
        <v>42359</v>
      </c>
      <c r="J328" s="2" t="str">
        <f>HYPERLINK("https://docs.wto.org/imrd/directdoc.asp?DDFDocuments/t/G/TBTN15/UGA524.DOC")</f>
        <v>https://docs.wto.org/imrd/directdoc.asp?DDFDocuments/t/G/TBTN15/UGA524.DOC</v>
      </c>
      <c r="K328" s="2" t="str">
        <f>HYPERLINK("https://docs.wto.org/imrd/directdoc.asp?DDFDocuments/u/G/TBTN15/UGA524.DOC")</f>
        <v>https://docs.wto.org/imrd/directdoc.asp?DDFDocuments/u/G/TBTN15/UGA524.DOC</v>
      </c>
      <c r="L328" s="2" t="str">
        <f>HYPERLINK("https://docs.wto.org/imrd/directdoc.asp?DDFDocuments/v/G/TBTN15/UGA524.DOC")</f>
        <v>https://docs.wto.org/imrd/directdoc.asp?DDFDocuments/v/G/TBTN15/UGA524.DOC</v>
      </c>
      <c r="M328" s="2" t="str">
        <f>HYPERLINK("http://www.epingalert.org/#/details/G/TBT/N/UGA/524")</f>
        <v>http://www.epingalert.org/#/details/G/TBT/N/UGA/524</v>
      </c>
      <c r="N328" s="2"/>
      <c r="O328" s="2"/>
    </row>
    <row r="329" spans="1:15" ht="255" outlineLevel="1" x14ac:dyDescent="0.25">
      <c r="A329" s="2" t="s">
        <v>185</v>
      </c>
      <c r="B329" s="4" t="s">
        <v>580</v>
      </c>
      <c r="C329" s="2" t="s">
        <v>581</v>
      </c>
      <c r="D329" s="2" t="s">
        <v>582</v>
      </c>
      <c r="E329" s="3">
        <v>42293</v>
      </c>
      <c r="F329" s="2" t="s">
        <v>583</v>
      </c>
      <c r="G329" s="2"/>
      <c r="H329" s="2" t="s">
        <v>17</v>
      </c>
      <c r="I329" s="3">
        <v>42353</v>
      </c>
      <c r="J329" s="2" t="str">
        <f>HYPERLINK("https://docs.wto.org/imrd/directdoc.asp?DDFDocuments/t/G/TBTN15/EGY109.DOC")</f>
        <v>https://docs.wto.org/imrd/directdoc.asp?DDFDocuments/t/G/TBTN15/EGY109.DOC</v>
      </c>
      <c r="K329" s="2" t="str">
        <f>HYPERLINK("https://docs.wto.org/imrd/directdoc.asp?DDFDocuments/u/G/TBTN15/EGY109.DOC")</f>
        <v>https://docs.wto.org/imrd/directdoc.asp?DDFDocuments/u/G/TBTN15/EGY109.DOC</v>
      </c>
      <c r="L329" s="2" t="str">
        <f>HYPERLINK("https://docs.wto.org/imrd/directdoc.asp?DDFDocuments/v/G/TBTN15/EGY109.DOC")</f>
        <v>https://docs.wto.org/imrd/directdoc.asp?DDFDocuments/v/G/TBTN15/EGY109.DOC</v>
      </c>
      <c r="M329" s="2" t="str">
        <f>HYPERLINK("http://www.epingalert.org/#/details/G/TBT/N/EGY/109")</f>
        <v>http://www.epingalert.org/#/details/G/TBT/N/EGY/109</v>
      </c>
      <c r="N329" s="2"/>
      <c r="O329" s="2"/>
    </row>
    <row r="330" spans="1:15" ht="105" outlineLevel="1" x14ac:dyDescent="0.25">
      <c r="A330" s="2" t="s">
        <v>42</v>
      </c>
      <c r="B330" s="4" t="s">
        <v>575</v>
      </c>
      <c r="C330" s="2" t="s">
        <v>576</v>
      </c>
      <c r="D330" s="2" t="s">
        <v>577</v>
      </c>
      <c r="E330" s="3">
        <v>42293</v>
      </c>
      <c r="F330" s="2" t="s">
        <v>578</v>
      </c>
      <c r="G330" s="2" t="s">
        <v>579</v>
      </c>
      <c r="H330" s="2" t="s">
        <v>17</v>
      </c>
      <c r="I330" s="3">
        <v>42349</v>
      </c>
      <c r="J330" s="2" t="str">
        <f>HYPERLINK("https://docs.wto.org/imrd/directdoc.asp?DDFDocuments/t/G/TBTN15/BRA649.DOC")</f>
        <v>https://docs.wto.org/imrd/directdoc.asp?DDFDocuments/t/G/TBTN15/BRA649.DOC</v>
      </c>
      <c r="K330" s="2" t="str">
        <f>HYPERLINK("https://docs.wto.org/imrd/directdoc.asp?DDFDocuments/u/G/TBTN15/BRA649.DOC")</f>
        <v>https://docs.wto.org/imrd/directdoc.asp?DDFDocuments/u/G/TBTN15/BRA649.DOC</v>
      </c>
      <c r="L330" s="2" t="str">
        <f>HYPERLINK("https://docs.wto.org/imrd/directdoc.asp?DDFDocuments/v/G/TBTN15/BRA649.DOC")</f>
        <v>https://docs.wto.org/imrd/directdoc.asp?DDFDocuments/v/G/TBTN15/BRA649.DOC</v>
      </c>
      <c r="M330" s="2" t="str">
        <f>HYPERLINK("http://www.epingalert.org/#/details/G/TBT/N/BRA/649")</f>
        <v>http://www.epingalert.org/#/details/G/TBT/N/BRA/649</v>
      </c>
      <c r="N330" s="2"/>
      <c r="O330" s="2"/>
    </row>
    <row r="331" spans="1:15" ht="225" outlineLevel="1" x14ac:dyDescent="0.25">
      <c r="A331" s="2" t="s">
        <v>185</v>
      </c>
      <c r="B331" s="4" t="s">
        <v>584</v>
      </c>
      <c r="C331" s="2" t="s">
        <v>585</v>
      </c>
      <c r="D331" s="2" t="s">
        <v>586</v>
      </c>
      <c r="E331" s="3">
        <v>42292</v>
      </c>
      <c r="F331" s="2" t="s">
        <v>583</v>
      </c>
      <c r="G331" s="2"/>
      <c r="H331" s="2" t="s">
        <v>30</v>
      </c>
      <c r="I331" s="3">
        <v>42352</v>
      </c>
      <c r="J331" s="2" t="str">
        <f>HYPERLINK("https://docs.wto.org/imrd/directdoc.asp?DDFDocuments/t/G/TBTN15/EGY108.DOC")</f>
        <v>https://docs.wto.org/imrd/directdoc.asp?DDFDocuments/t/G/TBTN15/EGY108.DOC</v>
      </c>
      <c r="K331" s="2" t="str">
        <f>HYPERLINK("https://docs.wto.org/imrd/directdoc.asp?DDFDocuments/u/G/TBTN15/EGY108.DOC")</f>
        <v>https://docs.wto.org/imrd/directdoc.asp?DDFDocuments/u/G/TBTN15/EGY108.DOC</v>
      </c>
      <c r="L331" s="2" t="str">
        <f>HYPERLINK("https://docs.wto.org/imrd/directdoc.asp?DDFDocuments/v/G/TBTN15/EGY108.DOC")</f>
        <v>https://docs.wto.org/imrd/directdoc.asp?DDFDocuments/v/G/TBTN15/EGY108.DOC</v>
      </c>
      <c r="M331" s="2" t="str">
        <f>HYPERLINK("http://www.epingalert.org/#/details/G/TBT/N/EGY/108")</f>
        <v>http://www.epingalert.org/#/details/G/TBT/N/EGY/108</v>
      </c>
      <c r="N331" s="2"/>
      <c r="O331" s="2"/>
    </row>
    <row r="332" spans="1:15" ht="120" outlineLevel="1" x14ac:dyDescent="0.25">
      <c r="A332" s="2" t="s">
        <v>77</v>
      </c>
      <c r="B332" s="4" t="s">
        <v>587</v>
      </c>
      <c r="C332" s="2" t="s">
        <v>588</v>
      </c>
      <c r="D332" s="2" t="s">
        <v>589</v>
      </c>
      <c r="E332" s="3">
        <v>42291</v>
      </c>
      <c r="F332" s="2" t="s">
        <v>590</v>
      </c>
      <c r="G332" s="2"/>
      <c r="H332" s="2" t="s">
        <v>82</v>
      </c>
      <c r="I332" s="3">
        <v>42351</v>
      </c>
      <c r="J332" s="2" t="str">
        <f>HYPERLINK("https://docs.wto.org/imrd/directdoc.asp?DDFDocuments/t/G/TBTN15/TPKM220.DOC")</f>
        <v>https://docs.wto.org/imrd/directdoc.asp?DDFDocuments/t/G/TBTN15/TPKM220.DOC</v>
      </c>
      <c r="K332" s="2" t="str">
        <f>HYPERLINK("https://docs.wto.org/imrd/directdoc.asp?DDFDocuments/u/G/TBTN15/TPKM220.DOC")</f>
        <v>https://docs.wto.org/imrd/directdoc.asp?DDFDocuments/u/G/TBTN15/TPKM220.DOC</v>
      </c>
      <c r="L332" s="2" t="str">
        <f>HYPERLINK("https://docs.wto.org/imrd/directdoc.asp?DDFDocuments/v/G/TBTN15/TPKM220.DOC")</f>
        <v>https://docs.wto.org/imrd/directdoc.asp?DDFDocuments/v/G/TBTN15/TPKM220.DOC</v>
      </c>
      <c r="M332" s="2" t="str">
        <f>HYPERLINK("http://www.epingalert.org/#/details/G/TBT/N/TPKM/220")</f>
        <v>http://www.epingalert.org/#/details/G/TBT/N/TPKM/220</v>
      </c>
      <c r="N332" s="2"/>
      <c r="O332" s="2"/>
    </row>
    <row r="333" spans="1:15" ht="285" outlineLevel="1" x14ac:dyDescent="0.25">
      <c r="A333" s="2" t="s">
        <v>77</v>
      </c>
      <c r="B333" s="4" t="s">
        <v>591</v>
      </c>
      <c r="C333" s="2" t="s">
        <v>592</v>
      </c>
      <c r="D333" s="2" t="s">
        <v>593</v>
      </c>
      <c r="E333" s="3">
        <v>42291</v>
      </c>
      <c r="F333" s="2" t="s">
        <v>594</v>
      </c>
      <c r="G333" s="2"/>
      <c r="H333" s="2" t="s">
        <v>82</v>
      </c>
      <c r="I333" s="3">
        <v>42351</v>
      </c>
      <c r="J333" s="2" t="str">
        <f>HYPERLINK("https://docs.wto.org/imrd/directdoc.asp?DDFDocuments/t/G/TBTN15/TPKM219.DOC")</f>
        <v>https://docs.wto.org/imrd/directdoc.asp?DDFDocuments/t/G/TBTN15/TPKM219.DOC</v>
      </c>
      <c r="K333" s="2" t="str">
        <f>HYPERLINK("https://docs.wto.org/imrd/directdoc.asp?DDFDocuments/u/G/TBTN15/TPKM219.DOC")</f>
        <v>https://docs.wto.org/imrd/directdoc.asp?DDFDocuments/u/G/TBTN15/TPKM219.DOC</v>
      </c>
      <c r="L333" s="2" t="str">
        <f>HYPERLINK("https://docs.wto.org/imrd/directdoc.asp?DDFDocuments/v/G/TBTN15/TPKM219.DOC")</f>
        <v>https://docs.wto.org/imrd/directdoc.asp?DDFDocuments/v/G/TBTN15/TPKM219.DOC</v>
      </c>
      <c r="M333" s="2" t="str">
        <f>HYPERLINK("http://www.epingalert.org/#/details/G/TBT/N/TPKM/219")</f>
        <v>http://www.epingalert.org/#/details/G/TBT/N/TPKM/219</v>
      </c>
      <c r="N333" s="2"/>
      <c r="O333" s="2"/>
    </row>
    <row r="334" spans="1:15" ht="195" outlineLevel="1" x14ac:dyDescent="0.25">
      <c r="A334" s="2" t="s">
        <v>18</v>
      </c>
      <c r="B334" s="4" t="s">
        <v>595</v>
      </c>
      <c r="C334" s="2" t="s">
        <v>596</v>
      </c>
      <c r="D334" s="2" t="s">
        <v>597</v>
      </c>
      <c r="E334" s="3">
        <v>42289</v>
      </c>
      <c r="F334" s="2" t="s">
        <v>598</v>
      </c>
      <c r="G334" s="2" t="s">
        <v>599</v>
      </c>
      <c r="H334" s="2" t="s">
        <v>24</v>
      </c>
      <c r="I334" s="3">
        <v>42296</v>
      </c>
      <c r="J334" s="2" t="str">
        <f>HYPERLINK("https://docs.wto.org/imrd/directdoc.asp?DDFDocuments/t/G/TBTN15/USA1036.DOC")</f>
        <v>https://docs.wto.org/imrd/directdoc.asp?DDFDocuments/t/G/TBTN15/USA1036.DOC</v>
      </c>
      <c r="K334" s="2" t="str">
        <f>HYPERLINK("https://docs.wto.org/imrd/directdoc.asp?DDFDocuments/u/G/TBTN15/USA1036.DOC")</f>
        <v>https://docs.wto.org/imrd/directdoc.asp?DDFDocuments/u/G/TBTN15/USA1036.DOC</v>
      </c>
      <c r="L334" s="2" t="str">
        <f>HYPERLINK("https://docs.wto.org/imrd/directdoc.asp?DDFDocuments/v/G/TBTN15/USA1036.DOC")</f>
        <v>https://docs.wto.org/imrd/directdoc.asp?DDFDocuments/v/G/TBTN15/USA1036.DOC</v>
      </c>
      <c r="M334" s="2" t="str">
        <f>HYPERLINK("http://www.epingalert.org/#/details/G/TBT/N/USA/1036")</f>
        <v>http://www.epingalert.org/#/details/G/TBT/N/USA/1036</v>
      </c>
      <c r="N334" s="2"/>
      <c r="O334" s="2"/>
    </row>
    <row r="335" spans="1:15" ht="270" outlineLevel="1" x14ac:dyDescent="0.25">
      <c r="A335" s="2" t="s">
        <v>25</v>
      </c>
      <c r="B335" s="4" t="s">
        <v>600</v>
      </c>
      <c r="C335" s="2" t="s">
        <v>601</v>
      </c>
      <c r="D335" s="2" t="s">
        <v>602</v>
      </c>
      <c r="E335" s="3">
        <v>42269</v>
      </c>
      <c r="F335" s="2" t="s">
        <v>603</v>
      </c>
      <c r="G335" s="2"/>
      <c r="H335" s="2"/>
      <c r="I335" s="3">
        <v>42329</v>
      </c>
      <c r="J335" s="2" t="str">
        <f>HYPERLINK("https://docs.wto.org/imrd/directdoc.asp?DDFDocuments/t/G/TBTN15/KOR604.DOC")</f>
        <v>https://docs.wto.org/imrd/directdoc.asp?DDFDocuments/t/G/TBTN15/KOR604.DOC</v>
      </c>
      <c r="K335" s="2" t="str">
        <f>HYPERLINK("https://docs.wto.org/imrd/directdoc.asp?DDFDocuments/u/G/TBTN15/KOR604.DOC")</f>
        <v>https://docs.wto.org/imrd/directdoc.asp?DDFDocuments/u/G/TBTN15/KOR604.DOC</v>
      </c>
      <c r="L335" s="2" t="str">
        <f>HYPERLINK("https://docs.wto.org/imrd/directdoc.asp?DDFDocuments/v/G/TBTN15/KOR604.DOC")</f>
        <v>https://docs.wto.org/imrd/directdoc.asp?DDFDocuments/v/G/TBTN15/KOR604.DOC</v>
      </c>
      <c r="M335" s="2" t="str">
        <f>HYPERLINK("http://www.epingalert.org/#/details/G/TBT/N/KOR/604")</f>
        <v>http://www.epingalert.org/#/details/G/TBT/N/KOR/604</v>
      </c>
      <c r="N335" s="2"/>
      <c r="O335" s="2"/>
    </row>
    <row r="336" spans="1:15" ht="300" outlineLevel="1" x14ac:dyDescent="0.25">
      <c r="A336" s="2" t="s">
        <v>98</v>
      </c>
      <c r="B336" s="4" t="s">
        <v>604</v>
      </c>
      <c r="C336" s="2" t="s">
        <v>605</v>
      </c>
      <c r="D336" s="2" t="s">
        <v>606</v>
      </c>
      <c r="E336" s="3">
        <v>42269</v>
      </c>
      <c r="F336" s="2" t="s">
        <v>607</v>
      </c>
      <c r="G336" s="2" t="s">
        <v>103</v>
      </c>
      <c r="H336" s="2" t="s">
        <v>17</v>
      </c>
      <c r="I336" s="3">
        <v>42329</v>
      </c>
      <c r="J336" s="2" t="str">
        <f>HYPERLINK("https://docs.wto.org/imrd/directdoc.asp?DDFDocuments/t/G/TBTN15/ZAF193.DOC")</f>
        <v>https://docs.wto.org/imrd/directdoc.asp?DDFDocuments/t/G/TBTN15/ZAF193.DOC</v>
      </c>
      <c r="K336" s="2" t="str">
        <f>HYPERLINK("https://docs.wto.org/imrd/directdoc.asp?DDFDocuments/u/G/TBTN15/ZAF193.DOC")</f>
        <v>https://docs.wto.org/imrd/directdoc.asp?DDFDocuments/u/G/TBTN15/ZAF193.DOC</v>
      </c>
      <c r="L336" s="2" t="str">
        <f>HYPERLINK("https://docs.wto.org/imrd/directdoc.asp?DDFDocuments/v/G/TBTN15/ZAF193.DOC")</f>
        <v>https://docs.wto.org/imrd/directdoc.asp?DDFDocuments/v/G/TBTN15/ZAF193.DOC</v>
      </c>
      <c r="M336" s="2" t="str">
        <f>HYPERLINK("http://www.epingalert.org/#/details/G/TBT/N/ZAF/193")</f>
        <v>http://www.epingalert.org/#/details/G/TBT/N/ZAF/193</v>
      </c>
      <c r="N336" s="2"/>
      <c r="O336" s="2"/>
    </row>
    <row r="337" spans="1:15" ht="135" outlineLevel="1" x14ac:dyDescent="0.25">
      <c r="A337" s="2" t="s">
        <v>180</v>
      </c>
      <c r="B337" s="4" t="s">
        <v>608</v>
      </c>
      <c r="C337" s="2" t="s">
        <v>609</v>
      </c>
      <c r="D337" s="2" t="s">
        <v>610</v>
      </c>
      <c r="E337" s="3">
        <v>42268</v>
      </c>
      <c r="F337" s="2" t="s">
        <v>611</v>
      </c>
      <c r="G337" s="2"/>
      <c r="H337" s="2" t="s">
        <v>17</v>
      </c>
      <c r="I337" s="3">
        <v>42328</v>
      </c>
      <c r="J337" s="2" t="str">
        <f>HYPERLINK("https://docs.wto.org/imrd/directdoc.asp?DDFDocuments/t/G/TBTN15/KWT277R1.DOC")</f>
        <v>https://docs.wto.org/imrd/directdoc.asp?DDFDocuments/t/G/TBTN15/KWT277R1.DOC</v>
      </c>
      <c r="K337" s="2" t="str">
        <f>HYPERLINK("https://docs.wto.org/imrd/directdoc.asp?DDFDocuments/u/G/TBTN15/KWT277R1.DOC")</f>
        <v>https://docs.wto.org/imrd/directdoc.asp?DDFDocuments/u/G/TBTN15/KWT277R1.DOC</v>
      </c>
      <c r="L337" s="2" t="str">
        <f>HYPERLINK("https://docs.wto.org/imrd/directdoc.asp?DDFDocuments/v/G/TBTN15/KWT277R1.DOC")</f>
        <v>https://docs.wto.org/imrd/directdoc.asp?DDFDocuments/v/G/TBTN15/KWT277R1.DOC</v>
      </c>
      <c r="M337" s="2" t="str">
        <f>HYPERLINK("http://www.epingalert.org/#/details/G/TBT/N/KWT/277/Rev.1")</f>
        <v>http://www.epingalert.org/#/details/G/TBT/N/KWT/277/Rev.1</v>
      </c>
      <c r="N337" s="2"/>
      <c r="O337" s="2"/>
    </row>
    <row r="338" spans="1:15" ht="270" outlineLevel="1" x14ac:dyDescent="0.25">
      <c r="A338" s="2" t="s">
        <v>154</v>
      </c>
      <c r="B338" s="4" t="s">
        <v>612</v>
      </c>
      <c r="C338" s="2" t="s">
        <v>613</v>
      </c>
      <c r="D338" s="2" t="s">
        <v>614</v>
      </c>
      <c r="E338" s="3">
        <v>42265</v>
      </c>
      <c r="F338" s="2" t="s">
        <v>46</v>
      </c>
      <c r="G338" s="2"/>
      <c r="H338" s="2" t="s">
        <v>24</v>
      </c>
      <c r="I338" s="3">
        <v>42325</v>
      </c>
      <c r="J338" s="2" t="str">
        <f>HYPERLINK("https://docs.wto.org/imrd/directdoc.asp?DDFDocuments/t/G/TBTN15/IDN102.DOC")</f>
        <v>https://docs.wto.org/imrd/directdoc.asp?DDFDocuments/t/G/TBTN15/IDN102.DOC</v>
      </c>
      <c r="K338" s="2" t="str">
        <f>HYPERLINK("https://docs.wto.org/imrd/directdoc.asp?DDFDocuments/u/G/TBTN15/IDN102.DOC")</f>
        <v>https://docs.wto.org/imrd/directdoc.asp?DDFDocuments/u/G/TBTN15/IDN102.DOC</v>
      </c>
      <c r="L338" s="2" t="str">
        <f>HYPERLINK("https://docs.wto.org/imrd/directdoc.asp?DDFDocuments/v/G/TBTN15/IDN102.DOC")</f>
        <v>https://docs.wto.org/imrd/directdoc.asp?DDFDocuments/v/G/TBTN15/IDN102.DOC</v>
      </c>
      <c r="M338" s="2" t="str">
        <f>HYPERLINK("http://www.epingalert.org/#/details/G/TBT/N/IDN/102")</f>
        <v>http://www.epingalert.org/#/details/G/TBT/N/IDN/102</v>
      </c>
      <c r="N338" s="2"/>
      <c r="O338" s="2"/>
    </row>
    <row r="339" spans="1:15" ht="90" outlineLevel="1" x14ac:dyDescent="0.25">
      <c r="A339" s="2" t="s">
        <v>98</v>
      </c>
      <c r="B339" s="4" t="s">
        <v>615</v>
      </c>
      <c r="C339" s="2" t="s">
        <v>616</v>
      </c>
      <c r="D339" s="2" t="s">
        <v>617</v>
      </c>
      <c r="E339" s="3">
        <v>42263</v>
      </c>
      <c r="F339" s="2" t="s">
        <v>618</v>
      </c>
      <c r="G339" s="2" t="s">
        <v>619</v>
      </c>
      <c r="H339" s="2" t="s">
        <v>17</v>
      </c>
      <c r="I339" s="3">
        <v>42314</v>
      </c>
      <c r="J339" s="2" t="str">
        <f>HYPERLINK("https://docs.wto.org/imrd/directdoc.asp?DDFDocuments/t/G/TBTN08/ZAF88R1.DOC")</f>
        <v>https://docs.wto.org/imrd/directdoc.asp?DDFDocuments/t/G/TBTN08/ZAF88R1.DOC</v>
      </c>
      <c r="K339" s="2" t="str">
        <f>HYPERLINK("https://docs.wto.org/imrd/directdoc.asp?DDFDocuments/u/G/TBTN08/ZAF88R1.DOC")</f>
        <v>https://docs.wto.org/imrd/directdoc.asp?DDFDocuments/u/G/TBTN08/ZAF88R1.DOC</v>
      </c>
      <c r="L339" s="2" t="str">
        <f>HYPERLINK("https://docs.wto.org/imrd/directdoc.asp?DDFDocuments/v/G/TBTN08/ZAF88R1.DOC")</f>
        <v>https://docs.wto.org/imrd/directdoc.asp?DDFDocuments/v/G/TBTN08/ZAF88R1.DOC</v>
      </c>
      <c r="M339" s="2" t="str">
        <f>HYPERLINK("http://www.epingalert.org/#/details/G/TBT/N/ZAF/88/Rev.1")</f>
        <v>http://www.epingalert.org/#/details/G/TBT/N/ZAF/88/Rev.1</v>
      </c>
      <c r="N339" s="2"/>
      <c r="O339" s="2"/>
    </row>
    <row r="340" spans="1:15" ht="120" outlineLevel="1" x14ac:dyDescent="0.25">
      <c r="A340" s="2" t="s">
        <v>37</v>
      </c>
      <c r="B340" s="4" t="s">
        <v>620</v>
      </c>
      <c r="C340" s="2" t="s">
        <v>621</v>
      </c>
      <c r="D340" s="2" t="s">
        <v>622</v>
      </c>
      <c r="E340" s="3">
        <v>42261</v>
      </c>
      <c r="F340" s="2" t="s">
        <v>623</v>
      </c>
      <c r="G340" s="2"/>
      <c r="H340" s="2" t="s">
        <v>127</v>
      </c>
      <c r="I340" s="3">
        <v>42323</v>
      </c>
      <c r="J340" s="2" t="str">
        <f>HYPERLINK("https://docs.wto.org/imrd/directdoc.asp?DDFDocuments/t/G/TBTN15/TUR67.DOC")</f>
        <v>https://docs.wto.org/imrd/directdoc.asp?DDFDocuments/t/G/TBTN15/TUR67.DOC</v>
      </c>
      <c r="K340" s="2" t="str">
        <f>HYPERLINK("https://docs.wto.org/imrd/directdoc.asp?DDFDocuments/u/G/TBTN15/TUR67.DOC")</f>
        <v>https://docs.wto.org/imrd/directdoc.asp?DDFDocuments/u/G/TBTN15/TUR67.DOC</v>
      </c>
      <c r="L340" s="2" t="str">
        <f>HYPERLINK("https://docs.wto.org/imrd/directdoc.asp?DDFDocuments/v/G/TBTN15/TUR67.DOC")</f>
        <v>https://docs.wto.org/imrd/directdoc.asp?DDFDocuments/v/G/TBTN15/TUR67.DOC</v>
      </c>
      <c r="M340" s="2" t="str">
        <f>HYPERLINK("http://www.epingalert.org/#/details/G/TBT/N/TUR/67")</f>
        <v>http://www.epingalert.org/#/details/G/TBT/N/TUR/67</v>
      </c>
      <c r="N340" s="2"/>
      <c r="O340" s="2"/>
    </row>
    <row r="341" spans="1:15" ht="409.5" outlineLevel="1" x14ac:dyDescent="0.25">
      <c r="A341" s="2" t="s">
        <v>25</v>
      </c>
      <c r="B341" s="4" t="s">
        <v>624</v>
      </c>
      <c r="C341" s="2" t="s">
        <v>625</v>
      </c>
      <c r="D341" s="2" t="s">
        <v>626</v>
      </c>
      <c r="E341" s="3">
        <v>42249</v>
      </c>
      <c r="F341" s="2" t="s">
        <v>290</v>
      </c>
      <c r="G341" s="2"/>
      <c r="H341" s="2" t="s">
        <v>17</v>
      </c>
      <c r="I341" s="3">
        <v>42309</v>
      </c>
      <c r="J341" s="2" t="str">
        <f>HYPERLINK("https://docs.wto.org/imrd/directdoc.asp?DDFDocuments/t/G/TBTN15/KOR598.DOC")</f>
        <v>https://docs.wto.org/imrd/directdoc.asp?DDFDocuments/t/G/TBTN15/KOR598.DOC</v>
      </c>
      <c r="K341" s="2" t="str">
        <f>HYPERLINK("https://docs.wto.org/imrd/directdoc.asp?DDFDocuments/u/G/TBTN15/KOR598.DOC")</f>
        <v>https://docs.wto.org/imrd/directdoc.asp?DDFDocuments/u/G/TBTN15/KOR598.DOC</v>
      </c>
      <c r="L341" s="2" t="str">
        <f>HYPERLINK("https://docs.wto.org/imrd/directdoc.asp?DDFDocuments/v/G/TBTN15/KOR598.DOC")</f>
        <v>https://docs.wto.org/imrd/directdoc.asp?DDFDocuments/v/G/TBTN15/KOR598.DOC</v>
      </c>
      <c r="M341" s="2" t="str">
        <f>HYPERLINK("http://www.epingalert.org/#/details/G/TBT/N/KOR/598")</f>
        <v>http://www.epingalert.org/#/details/G/TBT/N/KOR/598</v>
      </c>
      <c r="N341" s="2"/>
      <c r="O341" s="2"/>
    </row>
    <row r="342" spans="1:15" ht="120" outlineLevel="1" x14ac:dyDescent="0.25">
      <c r="A342" s="2" t="s">
        <v>185</v>
      </c>
      <c r="B342" s="4" t="s">
        <v>627</v>
      </c>
      <c r="C342" s="2" t="s">
        <v>628</v>
      </c>
      <c r="D342" s="2" t="s">
        <v>629</v>
      </c>
      <c r="E342" s="3">
        <v>42237</v>
      </c>
      <c r="F342" s="2" t="s">
        <v>630</v>
      </c>
      <c r="G342" s="2"/>
      <c r="H342" s="2" t="s">
        <v>17</v>
      </c>
      <c r="I342" s="3">
        <v>42297</v>
      </c>
      <c r="J342" s="2" t="str">
        <f>HYPERLINK("https://docs.wto.org/imrd/directdoc.asp?DDFDocuments/t/G/TBTN15/EGY87.DOC")</f>
        <v>https://docs.wto.org/imrd/directdoc.asp?DDFDocuments/t/G/TBTN15/EGY87.DOC</v>
      </c>
      <c r="K342" s="2" t="str">
        <f>HYPERLINK("https://docs.wto.org/imrd/directdoc.asp?DDFDocuments/u/G/TBTN15/EGY87.DOC")</f>
        <v>https://docs.wto.org/imrd/directdoc.asp?DDFDocuments/u/G/TBTN15/EGY87.DOC</v>
      </c>
      <c r="L342" s="2" t="str">
        <f>HYPERLINK("https://docs.wto.org/imrd/directdoc.asp?DDFDocuments/v/G/TBTN15/EGY87.DOC")</f>
        <v>https://docs.wto.org/imrd/directdoc.asp?DDFDocuments/v/G/TBTN15/EGY87.DOC</v>
      </c>
      <c r="M342" s="2" t="str">
        <f>HYPERLINK("http://www.epingalert.org/#/details/G/TBT/N/EGY/87")</f>
        <v>http://www.epingalert.org/#/details/G/TBT/N/EGY/87</v>
      </c>
      <c r="N342" s="2"/>
      <c r="O342" s="2"/>
    </row>
    <row r="343" spans="1:15" ht="75" outlineLevel="1" x14ac:dyDescent="0.25">
      <c r="A343" s="2" t="s">
        <v>185</v>
      </c>
      <c r="B343" s="4" t="s">
        <v>1733</v>
      </c>
      <c r="C343" s="2" t="s">
        <v>1734</v>
      </c>
      <c r="D343" s="2" t="s">
        <v>1735</v>
      </c>
      <c r="E343" s="3">
        <v>42237</v>
      </c>
      <c r="F343" s="2" t="s">
        <v>1736</v>
      </c>
      <c r="G343" s="2"/>
      <c r="H343" s="2" t="s">
        <v>17</v>
      </c>
      <c r="I343" s="3">
        <v>42297</v>
      </c>
      <c r="J343" s="2" t="str">
        <f>HYPERLINK("https://docs.wto.org/imrd/directdoc.asp?DDFDocuments/t/G/TBTN15/EGY93.DOC")</f>
        <v>https://docs.wto.org/imrd/directdoc.asp?DDFDocuments/t/G/TBTN15/EGY93.DOC</v>
      </c>
      <c r="K343" s="2" t="str">
        <f>HYPERLINK("https://docs.wto.org/imrd/directdoc.asp?DDFDocuments/u/G/TBTN15/EGY93.DOC")</f>
        <v>https://docs.wto.org/imrd/directdoc.asp?DDFDocuments/u/G/TBTN15/EGY93.DOC</v>
      </c>
      <c r="L343" s="2" t="str">
        <f>HYPERLINK("https://docs.wto.org/imrd/directdoc.asp?DDFDocuments/v/G/TBTN15/EGY93.DOC")</f>
        <v>https://docs.wto.org/imrd/directdoc.asp?DDFDocuments/v/G/TBTN15/EGY93.DOC</v>
      </c>
      <c r="M343" s="2" t="str">
        <f>HYPERLINK("http://www.epingalert.org/#/details/G/TBT/N/EGY/93")</f>
        <v>http://www.epingalert.org/#/details/G/TBT/N/EGY/93</v>
      </c>
      <c r="N343" s="2"/>
      <c r="O343" s="2"/>
    </row>
    <row r="344" spans="1:15" ht="135" outlineLevel="1" x14ac:dyDescent="0.25">
      <c r="A344" s="2" t="s">
        <v>184</v>
      </c>
      <c r="B344" s="4" t="s">
        <v>1737</v>
      </c>
      <c r="C344" s="2" t="s">
        <v>1738</v>
      </c>
      <c r="D344" s="2" t="s">
        <v>1739</v>
      </c>
      <c r="E344" s="3">
        <v>42233</v>
      </c>
      <c r="F344" s="2" t="s">
        <v>1740</v>
      </c>
      <c r="G344" s="2" t="s">
        <v>1637</v>
      </c>
      <c r="H344" s="2" t="s">
        <v>127</v>
      </c>
      <c r="I344" s="3">
        <v>42293</v>
      </c>
      <c r="J344" s="2" t="str">
        <f t="shared" ref="J344:J350" si="30">HYPERLINK("https://docs.wto.org/imrd/directdoc.asp?DDFDocuments/t/G/TBTN15/ARE266.DOC")</f>
        <v>https://docs.wto.org/imrd/directdoc.asp?DDFDocuments/t/G/TBTN15/ARE266.DOC</v>
      </c>
      <c r="K344" s="2" t="str">
        <f t="shared" ref="K344:K350" si="31">HYPERLINK("https://docs.wto.org/imrd/directdoc.asp?DDFDocuments/u/G/TBTN15/ARE266.DOC")</f>
        <v>https://docs.wto.org/imrd/directdoc.asp?DDFDocuments/u/G/TBTN15/ARE266.DOC</v>
      </c>
      <c r="L344" s="2" t="str">
        <f t="shared" ref="L344:L350" si="32">HYPERLINK("https://docs.wto.org/imrd/directdoc.asp?DDFDocuments/v/G/TBTN15/ARE266.DOC")</f>
        <v>https://docs.wto.org/imrd/directdoc.asp?DDFDocuments/v/G/TBTN15/ARE266.DOC</v>
      </c>
      <c r="M344" s="2" t="str">
        <f t="shared" ref="M344:M350" si="33">HYPERLINK("http://www.epingalert.org/#/details/G/TBT/N/ARE/266#G/TBT/N/BHR/398#G/TBT/N/KWT/279#G/TBT/N/OMN/209#G/TBT/N/QAT/395#G/TBT/N/SAU/857#G/TBT/N/YEM/1")</f>
        <v>http://www.epingalert.org/#/details/G/TBT/N/ARE/266#G/TBT/N/BHR/398#G/TBT/N/KWT/279#G/TBT/N/OMN/209#G/TBT/N/QAT/395#G/TBT/N/SAU/857#G/TBT/N/YEM/1</v>
      </c>
      <c r="N344" s="2"/>
      <c r="O344" s="2"/>
    </row>
    <row r="345" spans="1:15" ht="135" outlineLevel="1" x14ac:dyDescent="0.25">
      <c r="A345" s="2" t="s">
        <v>173</v>
      </c>
      <c r="B345" s="4" t="s">
        <v>1737</v>
      </c>
      <c r="C345" s="2" t="s">
        <v>1738</v>
      </c>
      <c r="D345" s="2" t="s">
        <v>1739</v>
      </c>
      <c r="E345" s="3">
        <v>42233</v>
      </c>
      <c r="F345" s="2" t="s">
        <v>1740</v>
      </c>
      <c r="G345" s="2" t="s">
        <v>1637</v>
      </c>
      <c r="H345" s="2" t="s">
        <v>127</v>
      </c>
      <c r="I345" s="3">
        <v>42293</v>
      </c>
      <c r="J345" s="2" t="str">
        <f t="shared" si="30"/>
        <v>https://docs.wto.org/imrd/directdoc.asp?DDFDocuments/t/G/TBTN15/ARE266.DOC</v>
      </c>
      <c r="K345" s="2" t="str">
        <f t="shared" si="31"/>
        <v>https://docs.wto.org/imrd/directdoc.asp?DDFDocuments/u/G/TBTN15/ARE266.DOC</v>
      </c>
      <c r="L345" s="2" t="str">
        <f t="shared" si="32"/>
        <v>https://docs.wto.org/imrd/directdoc.asp?DDFDocuments/v/G/TBTN15/ARE266.DOC</v>
      </c>
      <c r="M345" s="2" t="str">
        <f t="shared" si="33"/>
        <v>http://www.epingalert.org/#/details/G/TBT/N/ARE/266#G/TBT/N/BHR/398#G/TBT/N/KWT/279#G/TBT/N/OMN/209#G/TBT/N/QAT/395#G/TBT/N/SAU/857#G/TBT/N/YEM/1</v>
      </c>
      <c r="N345" s="2"/>
      <c r="O345" s="2"/>
    </row>
    <row r="346" spans="1:15" ht="135" outlineLevel="1" x14ac:dyDescent="0.25">
      <c r="A346" s="2" t="s">
        <v>144</v>
      </c>
      <c r="B346" s="4" t="s">
        <v>1737</v>
      </c>
      <c r="C346" s="2" t="s">
        <v>1738</v>
      </c>
      <c r="D346" s="2" t="s">
        <v>1739</v>
      </c>
      <c r="E346" s="3">
        <v>42233</v>
      </c>
      <c r="F346" s="2" t="s">
        <v>1740</v>
      </c>
      <c r="G346" s="2" t="s">
        <v>1637</v>
      </c>
      <c r="H346" s="2" t="s">
        <v>127</v>
      </c>
      <c r="I346" s="3">
        <v>42293</v>
      </c>
      <c r="J346" s="2" t="str">
        <f t="shared" si="30"/>
        <v>https://docs.wto.org/imrd/directdoc.asp?DDFDocuments/t/G/TBTN15/ARE266.DOC</v>
      </c>
      <c r="K346" s="2" t="str">
        <f t="shared" si="31"/>
        <v>https://docs.wto.org/imrd/directdoc.asp?DDFDocuments/u/G/TBTN15/ARE266.DOC</v>
      </c>
      <c r="L346" s="2" t="str">
        <f t="shared" si="32"/>
        <v>https://docs.wto.org/imrd/directdoc.asp?DDFDocuments/v/G/TBTN15/ARE266.DOC</v>
      </c>
      <c r="M346" s="2" t="str">
        <f t="shared" si="33"/>
        <v>http://www.epingalert.org/#/details/G/TBT/N/ARE/266#G/TBT/N/BHR/398#G/TBT/N/KWT/279#G/TBT/N/OMN/209#G/TBT/N/QAT/395#G/TBT/N/SAU/857#G/TBT/N/YEM/1</v>
      </c>
      <c r="N346" s="2"/>
      <c r="O346" s="2"/>
    </row>
    <row r="347" spans="1:15" ht="135" outlineLevel="1" x14ac:dyDescent="0.25">
      <c r="A347" s="2" t="s">
        <v>179</v>
      </c>
      <c r="B347" s="4" t="s">
        <v>1737</v>
      </c>
      <c r="C347" s="2" t="s">
        <v>1738</v>
      </c>
      <c r="D347" s="2" t="s">
        <v>1739</v>
      </c>
      <c r="E347" s="3">
        <v>42233</v>
      </c>
      <c r="F347" s="2" t="s">
        <v>1740</v>
      </c>
      <c r="G347" s="2" t="s">
        <v>1637</v>
      </c>
      <c r="H347" s="2" t="s">
        <v>127</v>
      </c>
      <c r="I347" s="3">
        <v>42293</v>
      </c>
      <c r="J347" s="2" t="str">
        <f t="shared" si="30"/>
        <v>https://docs.wto.org/imrd/directdoc.asp?DDFDocuments/t/G/TBTN15/ARE266.DOC</v>
      </c>
      <c r="K347" s="2" t="str">
        <f t="shared" si="31"/>
        <v>https://docs.wto.org/imrd/directdoc.asp?DDFDocuments/u/G/TBTN15/ARE266.DOC</v>
      </c>
      <c r="L347" s="2" t="str">
        <f t="shared" si="32"/>
        <v>https://docs.wto.org/imrd/directdoc.asp?DDFDocuments/v/G/TBTN15/ARE266.DOC</v>
      </c>
      <c r="M347" s="2" t="str">
        <f t="shared" si="33"/>
        <v>http://www.epingalert.org/#/details/G/TBT/N/ARE/266#G/TBT/N/BHR/398#G/TBT/N/KWT/279#G/TBT/N/OMN/209#G/TBT/N/QAT/395#G/TBT/N/SAU/857#G/TBT/N/YEM/1</v>
      </c>
      <c r="N347" s="2"/>
      <c r="O347" s="2"/>
    </row>
    <row r="348" spans="1:15" ht="135" outlineLevel="1" x14ac:dyDescent="0.25">
      <c r="A348" s="2" t="s">
        <v>178</v>
      </c>
      <c r="B348" s="4" t="s">
        <v>1737</v>
      </c>
      <c r="C348" s="2" t="s">
        <v>1738</v>
      </c>
      <c r="D348" s="2" t="s">
        <v>1739</v>
      </c>
      <c r="E348" s="3">
        <v>42233</v>
      </c>
      <c r="F348" s="2" t="s">
        <v>1740</v>
      </c>
      <c r="G348" s="2" t="s">
        <v>1637</v>
      </c>
      <c r="H348" s="2" t="s">
        <v>127</v>
      </c>
      <c r="I348" s="3">
        <v>42293</v>
      </c>
      <c r="J348" s="2" t="str">
        <f t="shared" si="30"/>
        <v>https://docs.wto.org/imrd/directdoc.asp?DDFDocuments/t/G/TBTN15/ARE266.DOC</v>
      </c>
      <c r="K348" s="2" t="str">
        <f t="shared" si="31"/>
        <v>https://docs.wto.org/imrd/directdoc.asp?DDFDocuments/u/G/TBTN15/ARE266.DOC</v>
      </c>
      <c r="L348" s="2" t="str">
        <f t="shared" si="32"/>
        <v>https://docs.wto.org/imrd/directdoc.asp?DDFDocuments/v/G/TBTN15/ARE266.DOC</v>
      </c>
      <c r="M348" s="2" t="str">
        <f t="shared" si="33"/>
        <v>http://www.epingalert.org/#/details/G/TBT/N/ARE/266#G/TBT/N/BHR/398#G/TBT/N/KWT/279#G/TBT/N/OMN/209#G/TBT/N/QAT/395#G/TBT/N/SAU/857#G/TBT/N/YEM/1</v>
      </c>
      <c r="N348" s="2"/>
      <c r="O348" s="2"/>
    </row>
    <row r="349" spans="1:15" ht="135" outlineLevel="1" x14ac:dyDescent="0.25">
      <c r="A349" s="2" t="s">
        <v>180</v>
      </c>
      <c r="B349" s="4" t="s">
        <v>1737</v>
      </c>
      <c r="C349" s="2" t="s">
        <v>1738</v>
      </c>
      <c r="D349" s="2" t="s">
        <v>1739</v>
      </c>
      <c r="E349" s="3">
        <v>42233</v>
      </c>
      <c r="F349" s="2" t="s">
        <v>1740</v>
      </c>
      <c r="G349" s="2" t="s">
        <v>1637</v>
      </c>
      <c r="H349" s="2" t="s">
        <v>127</v>
      </c>
      <c r="I349" s="3">
        <v>42293</v>
      </c>
      <c r="J349" s="2" t="str">
        <f t="shared" si="30"/>
        <v>https://docs.wto.org/imrd/directdoc.asp?DDFDocuments/t/G/TBTN15/ARE266.DOC</v>
      </c>
      <c r="K349" s="2" t="str">
        <f t="shared" si="31"/>
        <v>https://docs.wto.org/imrd/directdoc.asp?DDFDocuments/u/G/TBTN15/ARE266.DOC</v>
      </c>
      <c r="L349" s="2" t="str">
        <f t="shared" si="32"/>
        <v>https://docs.wto.org/imrd/directdoc.asp?DDFDocuments/v/G/TBTN15/ARE266.DOC</v>
      </c>
      <c r="M349" s="2" t="str">
        <f t="shared" si="33"/>
        <v>http://www.epingalert.org/#/details/G/TBT/N/ARE/266#G/TBT/N/BHR/398#G/TBT/N/KWT/279#G/TBT/N/OMN/209#G/TBT/N/QAT/395#G/TBT/N/SAU/857#G/TBT/N/YEM/1</v>
      </c>
      <c r="N349" s="2"/>
      <c r="O349" s="2"/>
    </row>
    <row r="350" spans="1:15" ht="409.5" outlineLevel="1" x14ac:dyDescent="0.25">
      <c r="A350" s="2" t="s">
        <v>181</v>
      </c>
      <c r="B350" s="4" t="s">
        <v>1737</v>
      </c>
      <c r="C350" s="2" t="s">
        <v>1738</v>
      </c>
      <c r="D350" s="2" t="s">
        <v>1739</v>
      </c>
      <c r="E350" s="3">
        <v>42233</v>
      </c>
      <c r="F350" s="2" t="s">
        <v>1740</v>
      </c>
      <c r="G350" s="2" t="s">
        <v>1637</v>
      </c>
      <c r="H350" s="2" t="s">
        <v>1741</v>
      </c>
      <c r="I350" s="3">
        <v>42293</v>
      </c>
      <c r="J350" s="2" t="str">
        <f t="shared" si="30"/>
        <v>https://docs.wto.org/imrd/directdoc.asp?DDFDocuments/t/G/TBTN15/ARE266.DOC</v>
      </c>
      <c r="K350" s="2" t="str">
        <f t="shared" si="31"/>
        <v>https://docs.wto.org/imrd/directdoc.asp?DDFDocuments/u/G/TBTN15/ARE266.DOC</v>
      </c>
      <c r="L350" s="2" t="str">
        <f t="shared" si="32"/>
        <v>https://docs.wto.org/imrd/directdoc.asp?DDFDocuments/v/G/TBTN15/ARE266.DOC</v>
      </c>
      <c r="M350" s="2" t="str">
        <f t="shared" si="33"/>
        <v>http://www.epingalert.org/#/details/G/TBT/N/ARE/266#G/TBT/N/BHR/398#G/TBT/N/KWT/279#G/TBT/N/OMN/209#G/TBT/N/QAT/395#G/TBT/N/SAU/857#G/TBT/N/YEM/1</v>
      </c>
      <c r="N350" s="2"/>
      <c r="O350" s="2"/>
    </row>
    <row r="351" spans="1:15" ht="315" outlineLevel="1" x14ac:dyDescent="0.25">
      <c r="A351" s="2" t="s">
        <v>18</v>
      </c>
      <c r="B351" s="4" t="s">
        <v>1742</v>
      </c>
      <c r="C351" s="2" t="s">
        <v>1743</v>
      </c>
      <c r="D351" s="2" t="s">
        <v>1744</v>
      </c>
      <c r="E351" s="3">
        <v>42229</v>
      </c>
      <c r="F351" s="2" t="s">
        <v>1745</v>
      </c>
      <c r="G351" s="2" t="s">
        <v>1746</v>
      </c>
      <c r="H351" s="2" t="s">
        <v>24</v>
      </c>
      <c r="I351" s="3">
        <v>42283</v>
      </c>
      <c r="J351" s="2" t="str">
        <f>HYPERLINK("https://docs.wto.org/imrd/directdoc.asp?DDFDocuments/t/G/TBTN15/USA1024.DOC")</f>
        <v>https://docs.wto.org/imrd/directdoc.asp?DDFDocuments/t/G/TBTN15/USA1024.DOC</v>
      </c>
      <c r="K351" s="2" t="str">
        <f>HYPERLINK("https://docs.wto.org/imrd/directdoc.asp?DDFDocuments/u/G/TBTN15/USA1024.DOC")</f>
        <v>https://docs.wto.org/imrd/directdoc.asp?DDFDocuments/u/G/TBTN15/USA1024.DOC</v>
      </c>
      <c r="L351" s="2" t="str">
        <f>HYPERLINK("https://docs.wto.org/imrd/directdoc.asp?DDFDocuments/v/G/TBTN15/USA1024.DOC")</f>
        <v>https://docs.wto.org/imrd/directdoc.asp?DDFDocuments/v/G/TBTN15/USA1024.DOC</v>
      </c>
      <c r="M351" s="2" t="str">
        <f>HYPERLINK("http://www.epingalert.org/#/details/G/TBT/N/USA/1024")</f>
        <v>http://www.epingalert.org/#/details/G/TBT/N/USA/1024</v>
      </c>
      <c r="N351" s="2"/>
      <c r="O351" s="2"/>
    </row>
    <row r="352" spans="1:15" ht="300" outlineLevel="1" x14ac:dyDescent="0.25">
      <c r="A352" s="2" t="s">
        <v>18</v>
      </c>
      <c r="B352" s="4" t="s">
        <v>631</v>
      </c>
      <c r="C352" s="2" t="s">
        <v>632</v>
      </c>
      <c r="D352" s="2" t="s">
        <v>633</v>
      </c>
      <c r="E352" s="3">
        <v>42227</v>
      </c>
      <c r="F352" s="2" t="s">
        <v>634</v>
      </c>
      <c r="G352" s="2" t="s">
        <v>23</v>
      </c>
      <c r="H352" s="2" t="s">
        <v>24</v>
      </c>
      <c r="I352" s="3">
        <v>42247</v>
      </c>
      <c r="J352" s="2" t="str">
        <f>HYPERLINK("https://docs.wto.org/imrd/directdoc.asp?DDFDocuments/t/G/TBTN15/USA1019.DOC")</f>
        <v>https://docs.wto.org/imrd/directdoc.asp?DDFDocuments/t/G/TBTN15/USA1019.DOC</v>
      </c>
      <c r="K352" s="2" t="str">
        <f>HYPERLINK("https://docs.wto.org/imrd/directdoc.asp?DDFDocuments/u/G/TBTN15/USA1019.DOC")</f>
        <v>https://docs.wto.org/imrd/directdoc.asp?DDFDocuments/u/G/TBTN15/USA1019.DOC</v>
      </c>
      <c r="L352" s="2" t="str">
        <f>HYPERLINK("https://docs.wto.org/imrd/directdoc.asp?DDFDocuments/v/G/TBTN15/USA1019.DOC")</f>
        <v>https://docs.wto.org/imrd/directdoc.asp?DDFDocuments/v/G/TBTN15/USA1019.DOC</v>
      </c>
      <c r="M352" s="2" t="str">
        <f>HYPERLINK("http://www.epingalert.org/#/details/G/TBT/N/USA/1019")</f>
        <v>http://www.epingalert.org/#/details/G/TBT/N/USA/1019</v>
      </c>
      <c r="N352" s="2"/>
      <c r="O352" s="2"/>
    </row>
    <row r="353" spans="1:15" ht="135" outlineLevel="1" x14ac:dyDescent="0.25">
      <c r="A353" s="2" t="s">
        <v>180</v>
      </c>
      <c r="B353" s="4" t="s">
        <v>635</v>
      </c>
      <c r="C353" s="2" t="s">
        <v>636</v>
      </c>
      <c r="D353" s="2" t="s">
        <v>637</v>
      </c>
      <c r="E353" s="3">
        <v>42226</v>
      </c>
      <c r="F353" s="2" t="s">
        <v>638</v>
      </c>
      <c r="G353" s="2"/>
      <c r="H353" s="2"/>
      <c r="I353" s="3">
        <v>42286</v>
      </c>
      <c r="J353" s="2" t="str">
        <f>HYPERLINK("https://docs.wto.org/imrd/directdoc.asp?DDFDocuments/t/G/TBTN15/KWT278.pdf")</f>
        <v>https://docs.wto.org/imrd/directdoc.asp?DDFDocuments/t/G/TBTN15/KWT278.pdf</v>
      </c>
      <c r="K353" s="2" t="str">
        <f>HYPERLINK("https://docs.wto.org/imrd/directdoc.asp?DDFDocuments/u/G/TBTN15/KWT278.pdf")</f>
        <v>https://docs.wto.org/imrd/directdoc.asp?DDFDocuments/u/G/TBTN15/KWT278.pdf</v>
      </c>
      <c r="L353" s="2" t="str">
        <f>HYPERLINK("https://docs.wto.org/imrd/directdoc.asp?DDFDocuments/v/G/TBTN15/KWT278.pdf")</f>
        <v>https://docs.wto.org/imrd/directdoc.asp?DDFDocuments/v/G/TBTN15/KWT278.pdf</v>
      </c>
      <c r="M353" s="2" t="str">
        <f>HYPERLINK("http://www.epingalert.org/#/details/G/TBT/N/KWT/278")</f>
        <v>http://www.epingalert.org/#/details/G/TBT/N/KWT/278</v>
      </c>
      <c r="N353" s="2"/>
      <c r="O353" s="2"/>
    </row>
    <row r="354" spans="1:15" ht="105" outlineLevel="1" x14ac:dyDescent="0.25">
      <c r="A354" s="2" t="s">
        <v>47</v>
      </c>
      <c r="B354" s="4" t="s">
        <v>1747</v>
      </c>
      <c r="C354" s="2" t="s">
        <v>1748</v>
      </c>
      <c r="D354" s="2" t="s">
        <v>1749</v>
      </c>
      <c r="E354" s="3">
        <v>42215</v>
      </c>
      <c r="F354" s="2" t="s">
        <v>1750</v>
      </c>
      <c r="G354" s="2" t="s">
        <v>1751</v>
      </c>
      <c r="H354" s="2" t="s">
        <v>24</v>
      </c>
      <c r="I354" s="2"/>
      <c r="J354" s="2" t="str">
        <f>HYPERLINK("https://docs.wto.org/imrd/directdoc.asp?DDFDocuments/t/G/TBTN15/ISR820.DOC")</f>
        <v>https://docs.wto.org/imrd/directdoc.asp?DDFDocuments/t/G/TBTN15/ISR820.DOC</v>
      </c>
      <c r="K354" s="2" t="str">
        <f>HYPERLINK("https://docs.wto.org/imrd/directdoc.asp?DDFDocuments/u/G/TBTN15/ISR820.DOC")</f>
        <v>https://docs.wto.org/imrd/directdoc.asp?DDFDocuments/u/G/TBTN15/ISR820.DOC</v>
      </c>
      <c r="L354" s="2" t="str">
        <f>HYPERLINK("https://docs.wto.org/imrd/directdoc.asp?DDFDocuments/v/G/TBTN15/ISR820.DOC")</f>
        <v>https://docs.wto.org/imrd/directdoc.asp?DDFDocuments/v/G/TBTN15/ISR820.DOC</v>
      </c>
      <c r="M354" s="2" t="str">
        <f>HYPERLINK("http://www.epingalert.org/#/details/G/TBT/N/ISR/820")</f>
        <v>http://www.epingalert.org/#/details/G/TBT/N/ISR/820</v>
      </c>
      <c r="N354" s="2"/>
      <c r="O354" s="2"/>
    </row>
    <row r="355" spans="1:15" ht="105" outlineLevel="1" x14ac:dyDescent="0.25">
      <c r="A355" s="2" t="s">
        <v>77</v>
      </c>
      <c r="B355" s="4" t="s">
        <v>639</v>
      </c>
      <c r="C355" s="2" t="s">
        <v>640</v>
      </c>
      <c r="D355" s="2" t="s">
        <v>641</v>
      </c>
      <c r="E355" s="3">
        <v>42214</v>
      </c>
      <c r="F355" s="2" t="s">
        <v>348</v>
      </c>
      <c r="G355" s="2"/>
      <c r="H355" s="2"/>
      <c r="I355" s="3">
        <v>42274</v>
      </c>
      <c r="J355" s="2" t="str">
        <f>HYPERLINK("https://docs.wto.org/imrd/directdoc.asp?DDFDocuments/t/G/TBTN15/TPKM211.DOC")</f>
        <v>https://docs.wto.org/imrd/directdoc.asp?DDFDocuments/t/G/TBTN15/TPKM211.DOC</v>
      </c>
      <c r="K355" s="2" t="str">
        <f>HYPERLINK("https://docs.wto.org/imrd/directdoc.asp?DDFDocuments/u/G/TBTN15/TPKM211.DOC")</f>
        <v>https://docs.wto.org/imrd/directdoc.asp?DDFDocuments/u/G/TBTN15/TPKM211.DOC</v>
      </c>
      <c r="L355" s="2" t="str">
        <f>HYPERLINK("https://docs.wto.org/imrd/directdoc.asp?DDFDocuments/v/G/TBTN15/TPKM211.DOC")</f>
        <v>https://docs.wto.org/imrd/directdoc.asp?DDFDocuments/v/G/TBTN15/TPKM211.DOC</v>
      </c>
      <c r="M355" s="2" t="str">
        <f>HYPERLINK("http://www.epingalert.org/#/details/G/TBT/N/TPKM/211")</f>
        <v>http://www.epingalert.org/#/details/G/TBT/N/TPKM/211</v>
      </c>
      <c r="N355" s="2"/>
      <c r="O355" s="2"/>
    </row>
    <row r="356" spans="1:15" ht="180" outlineLevel="1" x14ac:dyDescent="0.25">
      <c r="A356" s="2" t="s">
        <v>115</v>
      </c>
      <c r="B356" s="4" t="s">
        <v>1752</v>
      </c>
      <c r="C356" s="2" t="s">
        <v>1753</v>
      </c>
      <c r="D356" s="2" t="s">
        <v>1754</v>
      </c>
      <c r="E356" s="3">
        <v>42214</v>
      </c>
      <c r="F356" s="2"/>
      <c r="G356" s="2" t="s">
        <v>1660</v>
      </c>
      <c r="H356" s="2" t="s">
        <v>82</v>
      </c>
      <c r="I356" s="3">
        <v>42274</v>
      </c>
      <c r="J356" s="2" t="str">
        <f>HYPERLINK("https://docs.wto.org/imrd/directdoc.asp?DDFDocuments/t/G/TBTN15/JPN496.DOC")</f>
        <v>https://docs.wto.org/imrd/directdoc.asp?DDFDocuments/t/G/TBTN15/JPN496.DOC</v>
      </c>
      <c r="K356" s="2" t="str">
        <f>HYPERLINK("https://docs.wto.org/imrd/directdoc.asp?DDFDocuments/u/G/TBTN15/JPN496.DOC")</f>
        <v>https://docs.wto.org/imrd/directdoc.asp?DDFDocuments/u/G/TBTN15/JPN496.DOC</v>
      </c>
      <c r="L356" s="2" t="str">
        <f>HYPERLINK("https://docs.wto.org/imrd/directdoc.asp?DDFDocuments/v/G/TBTN15/JPN496.DOC")</f>
        <v>https://docs.wto.org/imrd/directdoc.asp?DDFDocuments/v/G/TBTN15/JPN496.DOC</v>
      </c>
      <c r="M356" s="2" t="str">
        <f>HYPERLINK("http://www.epingalert.org/#/details/G/TBT/N/JPN/496")</f>
        <v>http://www.epingalert.org/#/details/G/TBT/N/JPN/496</v>
      </c>
      <c r="N356" s="2"/>
      <c r="O356" s="2"/>
    </row>
    <row r="357" spans="1:15" ht="60" outlineLevel="1" x14ac:dyDescent="0.25">
      <c r="A357" s="2" t="s">
        <v>77</v>
      </c>
      <c r="B357" s="4" t="s">
        <v>642</v>
      </c>
      <c r="C357" s="2" t="s">
        <v>643</v>
      </c>
      <c r="D357" s="2" t="s">
        <v>644</v>
      </c>
      <c r="E357" s="3">
        <v>42214</v>
      </c>
      <c r="F357" s="8" t="s">
        <v>645</v>
      </c>
      <c r="G357" s="2"/>
      <c r="H357" s="2"/>
      <c r="I357" s="3">
        <v>42179</v>
      </c>
      <c r="J357" s="2" t="str">
        <f>HYPERLINK("https://docs.wto.org/imrd/directdoc.asp?DDFDocuments/t/G/TBTN15/TPKM210.DOC")</f>
        <v>https://docs.wto.org/imrd/directdoc.asp?DDFDocuments/t/G/TBTN15/TPKM210.DOC</v>
      </c>
      <c r="K357" s="2" t="str">
        <f>HYPERLINK("https://docs.wto.org/imrd/directdoc.asp?DDFDocuments/u/G/TBTN15/TPKM210.DOC")</f>
        <v>https://docs.wto.org/imrd/directdoc.asp?DDFDocuments/u/G/TBTN15/TPKM210.DOC</v>
      </c>
      <c r="L357" s="2" t="str">
        <f>HYPERLINK("https://docs.wto.org/imrd/directdoc.asp?DDFDocuments/v/G/TBTN15/TPKM210.DOC")</f>
        <v>https://docs.wto.org/imrd/directdoc.asp?DDFDocuments/v/G/TBTN15/TPKM210.DOC</v>
      </c>
      <c r="M357" s="2" t="str">
        <f>HYPERLINK("http://www.epingalert.org/#/details/G/TBT/N/TPKM/210")</f>
        <v>http://www.epingalert.org/#/details/G/TBT/N/TPKM/210</v>
      </c>
      <c r="N357" s="2"/>
      <c r="O357" s="2"/>
    </row>
    <row r="358" spans="1:15" ht="105" outlineLevel="1" x14ac:dyDescent="0.25">
      <c r="A358" s="2" t="s">
        <v>380</v>
      </c>
      <c r="B358" s="4" t="s">
        <v>2175</v>
      </c>
      <c r="C358" s="2" t="s">
        <v>2176</v>
      </c>
      <c r="D358" s="2" t="s">
        <v>2177</v>
      </c>
      <c r="E358" s="3">
        <v>42212</v>
      </c>
      <c r="F358" s="2" t="s">
        <v>2178</v>
      </c>
      <c r="G358" s="2" t="s">
        <v>2179</v>
      </c>
      <c r="H358" s="2" t="s">
        <v>247</v>
      </c>
      <c r="I358" s="3">
        <v>42272</v>
      </c>
      <c r="J358" s="2" t="str">
        <f>HYPERLINK("https://docs.wto.org/imrd/directdoc.asp?DDFDocuments/t/G/TBTN15/CHN1128.DOC")</f>
        <v>https://docs.wto.org/imrd/directdoc.asp?DDFDocuments/t/G/TBTN15/CHN1128.DOC</v>
      </c>
      <c r="K358" s="2" t="str">
        <f>HYPERLINK("https://docs.wto.org/imrd/directdoc.asp?DDFDocuments/u/G/TBTN15/CHN1128.DOC")</f>
        <v>https://docs.wto.org/imrd/directdoc.asp?DDFDocuments/u/G/TBTN15/CHN1128.DOC</v>
      </c>
      <c r="L358" s="2" t="str">
        <f>HYPERLINK("https://docs.wto.org/imrd/directdoc.asp?DDFDocuments/v/G/TBTN15/CHN1128.DOC")</f>
        <v>https://docs.wto.org/imrd/directdoc.asp?DDFDocuments/v/G/TBTN15/CHN1128.DOC</v>
      </c>
      <c r="M358" s="2" t="str">
        <f>HYPERLINK("http://www.epingalert.org/#/details/G/TBT/N/CHN/1128")</f>
        <v>http://www.epingalert.org/#/details/G/TBT/N/CHN/1128</v>
      </c>
      <c r="N358" s="2"/>
      <c r="O358" s="2"/>
    </row>
    <row r="359" spans="1:15" ht="240" outlineLevel="1" x14ac:dyDescent="0.25">
      <c r="A359" s="2" t="s">
        <v>646</v>
      </c>
      <c r="B359" s="4" t="s">
        <v>647</v>
      </c>
      <c r="C359" s="2" t="s">
        <v>648</v>
      </c>
      <c r="D359" s="2" t="s">
        <v>649</v>
      </c>
      <c r="E359" s="3">
        <v>42207</v>
      </c>
      <c r="F359" s="2" t="s">
        <v>650</v>
      </c>
      <c r="G359" s="2"/>
      <c r="H359" s="2" t="s">
        <v>17</v>
      </c>
      <c r="I359" s="3">
        <v>42267</v>
      </c>
      <c r="J359" s="2" t="str">
        <f>HYPERLINK("https://docs.wto.org/imrd/directdoc.asp?DDFDocuments/t/G/TBTN15/VNM66.DOC")</f>
        <v>https://docs.wto.org/imrd/directdoc.asp?DDFDocuments/t/G/TBTN15/VNM66.DOC</v>
      </c>
      <c r="K359" s="2" t="str">
        <f>HYPERLINK("https://docs.wto.org/imrd/directdoc.asp?DDFDocuments/u/G/TBTN15/VNM66.DOC")</f>
        <v>https://docs.wto.org/imrd/directdoc.asp?DDFDocuments/u/G/TBTN15/VNM66.DOC</v>
      </c>
      <c r="L359" s="2" t="str">
        <f>HYPERLINK("https://docs.wto.org/imrd/directdoc.asp?DDFDocuments/v/G/TBTN15/VNM66.DOC")</f>
        <v>https://docs.wto.org/imrd/directdoc.asp?DDFDocuments/v/G/TBTN15/VNM66.DOC</v>
      </c>
      <c r="M359" s="2" t="str">
        <f>HYPERLINK("http://www.epingalert.org/#/details/G/TBT/N/VNM/66")</f>
        <v>http://www.epingalert.org/#/details/G/TBT/N/VNM/66</v>
      </c>
      <c r="N359" s="2"/>
      <c r="O359" s="2"/>
    </row>
    <row r="360" spans="1:15" ht="90" outlineLevel="1" x14ac:dyDescent="0.25">
      <c r="A360" s="2" t="s">
        <v>115</v>
      </c>
      <c r="B360" s="4" t="s">
        <v>1755</v>
      </c>
      <c r="C360" s="2" t="s">
        <v>1756</v>
      </c>
      <c r="D360" s="2" t="s">
        <v>1757</v>
      </c>
      <c r="E360" s="3">
        <v>42200</v>
      </c>
      <c r="F360" s="2"/>
      <c r="G360" s="2" t="s">
        <v>1660</v>
      </c>
      <c r="H360" s="2" t="s">
        <v>24</v>
      </c>
      <c r="I360" s="3">
        <v>42260</v>
      </c>
      <c r="J360" s="2" t="str">
        <f>HYPERLINK("https://docs.wto.org/imrd/directdoc.asp?DDFDocuments/t/G/TBTN15/JPN495.DOC")</f>
        <v>https://docs.wto.org/imrd/directdoc.asp?DDFDocuments/t/G/TBTN15/JPN495.DOC</v>
      </c>
      <c r="K360" s="2" t="str">
        <f>HYPERLINK("https://docs.wto.org/imrd/directdoc.asp?DDFDocuments/u/G/TBTN15/JPN495.DOC")</f>
        <v>https://docs.wto.org/imrd/directdoc.asp?DDFDocuments/u/G/TBTN15/JPN495.DOC</v>
      </c>
      <c r="L360" s="2" t="str">
        <f>HYPERLINK("https://docs.wto.org/imrd/directdoc.asp?DDFDocuments/v/G/TBTN15/JPN495.DOC")</f>
        <v>https://docs.wto.org/imrd/directdoc.asp?DDFDocuments/v/G/TBTN15/JPN495.DOC</v>
      </c>
      <c r="M360" s="2" t="str">
        <f>HYPERLINK("http://www.epingalert.org/#/details/G/TBT/N/JPN/495")</f>
        <v>http://www.epingalert.org/#/details/G/TBT/N/JPN/495</v>
      </c>
      <c r="N360" s="2"/>
      <c r="O360" s="2"/>
    </row>
    <row r="361" spans="1:15" ht="135" outlineLevel="1" x14ac:dyDescent="0.25">
      <c r="A361" s="2" t="s">
        <v>180</v>
      </c>
      <c r="B361" s="4" t="s">
        <v>651</v>
      </c>
      <c r="C361" s="2" t="s">
        <v>652</v>
      </c>
      <c r="D361" s="2" t="s">
        <v>653</v>
      </c>
      <c r="E361" s="3">
        <v>42195</v>
      </c>
      <c r="F361" s="2" t="s">
        <v>654</v>
      </c>
      <c r="G361" s="2"/>
      <c r="H361" s="2" t="s">
        <v>17</v>
      </c>
      <c r="I361" s="3">
        <v>42255</v>
      </c>
      <c r="J361" s="2" t="str">
        <f>HYPERLINK("https://docs.wto.org/imrd/directdoc.asp?DDFDocuments/t/G/TBTN15/KWT277.DOC")</f>
        <v>https://docs.wto.org/imrd/directdoc.asp?DDFDocuments/t/G/TBTN15/KWT277.DOC</v>
      </c>
      <c r="K361" s="2" t="str">
        <f>HYPERLINK("https://docs.wto.org/imrd/directdoc.asp?DDFDocuments/u/G/TBTN15/KWT277.DOC")</f>
        <v>https://docs.wto.org/imrd/directdoc.asp?DDFDocuments/u/G/TBTN15/KWT277.DOC</v>
      </c>
      <c r="L361" s="2" t="str">
        <f>HYPERLINK("https://docs.wto.org/imrd/directdoc.asp?DDFDocuments/v/G/TBTN15/KWT277.DOC")</f>
        <v>https://docs.wto.org/imrd/directdoc.asp?DDFDocuments/v/G/TBTN15/KWT277.DOC</v>
      </c>
      <c r="M361" s="2" t="str">
        <f>HYPERLINK("http://www.epingalert.org/#/details/G/TBT/N/KWT/277")</f>
        <v>http://www.epingalert.org/#/details/G/TBT/N/KWT/277</v>
      </c>
      <c r="N361" s="2"/>
      <c r="O361" s="2"/>
    </row>
    <row r="362" spans="1:15" ht="75" outlineLevel="1" x14ac:dyDescent="0.25">
      <c r="A362" s="2" t="s">
        <v>173</v>
      </c>
      <c r="B362" s="4" t="s">
        <v>655</v>
      </c>
      <c r="C362" s="2" t="s">
        <v>656</v>
      </c>
      <c r="D362" s="2" t="s">
        <v>657</v>
      </c>
      <c r="E362" s="3">
        <v>42194</v>
      </c>
      <c r="F362" s="2" t="s">
        <v>658</v>
      </c>
      <c r="G362" s="2"/>
      <c r="H362" s="2" t="s">
        <v>17</v>
      </c>
      <c r="I362" s="3">
        <v>42254</v>
      </c>
      <c r="J362" s="2" t="str">
        <f>HYPERLINK("https://docs.wto.org/imrd/directdoc.asp?DDFDocuments/t/G/TBTN15/SAU855.DOC")</f>
        <v>https://docs.wto.org/imrd/directdoc.asp?DDFDocuments/t/G/TBTN15/SAU855.DOC</v>
      </c>
      <c r="K362" s="2" t="str">
        <f>HYPERLINK("https://docs.wto.org/imrd/directdoc.asp?DDFDocuments/u/G/TBTN15/SAU855.DOC")</f>
        <v>https://docs.wto.org/imrd/directdoc.asp?DDFDocuments/u/G/TBTN15/SAU855.DOC</v>
      </c>
      <c r="L362" s="2" t="str">
        <f>HYPERLINK("https://docs.wto.org/imrd/directdoc.asp?DDFDocuments/v/G/TBTN15/SAU855.DOC")</f>
        <v>https://docs.wto.org/imrd/directdoc.asp?DDFDocuments/v/G/TBTN15/SAU855.DOC</v>
      </c>
      <c r="M362" s="2" t="str">
        <f>HYPERLINK("http://www.epingalert.org/#/details/G/TBT/N/SAU/855")</f>
        <v>http://www.epingalert.org/#/details/G/TBT/N/SAU/855</v>
      </c>
      <c r="N362" s="2"/>
      <c r="O362" s="2"/>
    </row>
    <row r="363" spans="1:15" ht="60" outlineLevel="1" x14ac:dyDescent="0.25">
      <c r="A363" s="2" t="s">
        <v>37</v>
      </c>
      <c r="B363" s="4" t="s">
        <v>659</v>
      </c>
      <c r="C363" s="2" t="s">
        <v>660</v>
      </c>
      <c r="D363" s="2" t="s">
        <v>661</v>
      </c>
      <c r="E363" s="3">
        <v>42193</v>
      </c>
      <c r="F363" s="2" t="s">
        <v>662</v>
      </c>
      <c r="G363" s="2"/>
      <c r="H363" s="2" t="s">
        <v>17</v>
      </c>
      <c r="I363" s="3">
        <v>42247</v>
      </c>
      <c r="J363" s="2" t="str">
        <f>HYPERLINK("https://docs.wto.org/imrd/directdoc.asp?DDFDocuments/t/G/TBTN15/TUR66.DOC")</f>
        <v>https://docs.wto.org/imrd/directdoc.asp?DDFDocuments/t/G/TBTN15/TUR66.DOC</v>
      </c>
      <c r="K363" s="2" t="str">
        <f>HYPERLINK("https://docs.wto.org/imrd/directdoc.asp?DDFDocuments/u/G/TBTN15/TUR66.DOC")</f>
        <v>https://docs.wto.org/imrd/directdoc.asp?DDFDocuments/u/G/TBTN15/TUR66.DOC</v>
      </c>
      <c r="L363" s="2" t="str">
        <f>HYPERLINK("https://docs.wto.org/imrd/directdoc.asp?DDFDocuments/v/G/TBTN15/TUR66.DOC")</f>
        <v>https://docs.wto.org/imrd/directdoc.asp?DDFDocuments/v/G/TBTN15/TUR66.DOC</v>
      </c>
      <c r="M363" s="2" t="str">
        <f>HYPERLINK("http://www.epingalert.org/#/details/G/TBT/N/TUR/66")</f>
        <v>http://www.epingalert.org/#/details/G/TBT/N/TUR/66</v>
      </c>
      <c r="N363" s="2"/>
      <c r="O363" s="2"/>
    </row>
    <row r="364" spans="1:15" ht="135" outlineLevel="1" x14ac:dyDescent="0.25">
      <c r="A364" s="2" t="s">
        <v>12</v>
      </c>
      <c r="B364" s="4" t="s">
        <v>663</v>
      </c>
      <c r="C364" s="2" t="s">
        <v>664</v>
      </c>
      <c r="D364" s="2" t="s">
        <v>15</v>
      </c>
      <c r="E364" s="3">
        <v>42191</v>
      </c>
      <c r="F364" s="2" t="s">
        <v>86</v>
      </c>
      <c r="G364" s="2"/>
      <c r="H364" s="2" t="s">
        <v>17</v>
      </c>
      <c r="I364" s="3">
        <v>42251</v>
      </c>
      <c r="J364" s="2" t="str">
        <f>HYPERLINK("https://docs.wto.org/imrd/directdoc.asp?DDFDocuments/t/G/TBTN15/EU298.DOC")</f>
        <v>https://docs.wto.org/imrd/directdoc.asp?DDFDocuments/t/G/TBTN15/EU298.DOC</v>
      </c>
      <c r="K364" s="2" t="str">
        <f>HYPERLINK("https://docs.wto.org/imrd/directdoc.asp?DDFDocuments/u/G/TBTN15/EU298.DOC")</f>
        <v>https://docs.wto.org/imrd/directdoc.asp?DDFDocuments/u/G/TBTN15/EU298.DOC</v>
      </c>
      <c r="L364" s="2" t="str">
        <f>HYPERLINK("https://docs.wto.org/imrd/directdoc.asp?DDFDocuments/v/G/TBTN15/EU298.DOC")</f>
        <v>https://docs.wto.org/imrd/directdoc.asp?DDFDocuments/v/G/TBTN15/EU298.DOC</v>
      </c>
      <c r="M364" s="2" t="str">
        <f>HYPERLINK("http://www.epingalert.org/#/details/G/TBT/N/EU/298")</f>
        <v>http://www.epingalert.org/#/details/G/TBT/N/EU/298</v>
      </c>
      <c r="N364" s="2"/>
      <c r="O364" s="2"/>
    </row>
    <row r="365" spans="1:15" ht="120" outlineLevel="1" x14ac:dyDescent="0.25">
      <c r="A365" s="2" t="s">
        <v>184</v>
      </c>
      <c r="B365" s="4" t="s">
        <v>665</v>
      </c>
      <c r="C365" s="2" t="s">
        <v>666</v>
      </c>
      <c r="D365" s="2" t="s">
        <v>667</v>
      </c>
      <c r="E365" s="3">
        <v>42191</v>
      </c>
      <c r="F365" s="2" t="s">
        <v>668</v>
      </c>
      <c r="G365" s="2"/>
      <c r="H365" s="2" t="s">
        <v>198</v>
      </c>
      <c r="I365" s="3">
        <v>42251</v>
      </c>
      <c r="J365" s="2" t="str">
        <f>HYPERLINK("https://docs.wto.org/imrd/directdoc.asp?DDFDocuments/t/G/TBTN15/ARE263.DOC")</f>
        <v>https://docs.wto.org/imrd/directdoc.asp?DDFDocuments/t/G/TBTN15/ARE263.DOC</v>
      </c>
      <c r="K365" s="2" t="str">
        <f>HYPERLINK("https://docs.wto.org/imrd/directdoc.asp?DDFDocuments/u/G/TBTN15/ARE263.DOC")</f>
        <v>https://docs.wto.org/imrd/directdoc.asp?DDFDocuments/u/G/TBTN15/ARE263.DOC</v>
      </c>
      <c r="L365" s="2" t="str">
        <f>HYPERLINK("https://docs.wto.org/imrd/directdoc.asp?DDFDocuments/v/G/TBTN15/ARE263.DOC")</f>
        <v>https://docs.wto.org/imrd/directdoc.asp?DDFDocuments/v/G/TBTN15/ARE263.DOC</v>
      </c>
      <c r="M365" s="2" t="str">
        <f>HYPERLINK("http://www.epingalert.org/#/details/G/TBT/N/ARE/263")</f>
        <v>http://www.epingalert.org/#/details/G/TBT/N/ARE/263</v>
      </c>
      <c r="N365" s="2"/>
      <c r="O365" s="2"/>
    </row>
    <row r="366" spans="1:15" ht="120" outlineLevel="1" x14ac:dyDescent="0.25">
      <c r="A366" s="2" t="s">
        <v>18</v>
      </c>
      <c r="B366" s="4" t="s">
        <v>1525</v>
      </c>
      <c r="C366" s="2" t="s">
        <v>1526</v>
      </c>
      <c r="D366" s="2" t="s">
        <v>1527</v>
      </c>
      <c r="E366" s="3">
        <v>42186</v>
      </c>
      <c r="F366" s="2" t="s">
        <v>1528</v>
      </c>
      <c r="G366" s="2" t="s">
        <v>1529</v>
      </c>
      <c r="H366" s="2" t="s">
        <v>413</v>
      </c>
      <c r="I366" s="3">
        <v>42207</v>
      </c>
      <c r="J366" s="2" t="str">
        <f>HYPERLINK("https://docs.wto.org/imrd/directdoc.asp?DDFDocuments/t/G/TBTN15/USA1005.DOC")</f>
        <v>https://docs.wto.org/imrd/directdoc.asp?DDFDocuments/t/G/TBTN15/USA1005.DOC</v>
      </c>
      <c r="K366" s="2" t="str">
        <f>HYPERLINK("https://docs.wto.org/imrd/directdoc.asp?DDFDocuments/u/G/TBTN15/USA1005.DOC")</f>
        <v>https://docs.wto.org/imrd/directdoc.asp?DDFDocuments/u/G/TBTN15/USA1005.DOC</v>
      </c>
      <c r="L366" s="2" t="str">
        <f>HYPERLINK("https://docs.wto.org/imrd/directdoc.asp?DDFDocuments/v/G/TBTN15/USA1005.DOC")</f>
        <v>https://docs.wto.org/imrd/directdoc.asp?DDFDocuments/v/G/TBTN15/USA1005.DOC</v>
      </c>
      <c r="M366" s="2" t="str">
        <f>HYPERLINK("http://www.epingalert.org/#/details/G/TBT/N/USA/1005")</f>
        <v>http://www.epingalert.org/#/details/G/TBT/N/USA/1005</v>
      </c>
      <c r="N366" s="2"/>
      <c r="O366" s="2"/>
    </row>
    <row r="367" spans="1:15" ht="135" outlineLevel="1" x14ac:dyDescent="0.25">
      <c r="A367" s="2" t="s">
        <v>12</v>
      </c>
      <c r="B367" s="4" t="s">
        <v>669</v>
      </c>
      <c r="C367" s="2" t="s">
        <v>670</v>
      </c>
      <c r="D367" s="2" t="s">
        <v>671</v>
      </c>
      <c r="E367" s="3">
        <v>42184</v>
      </c>
      <c r="F367" s="2" t="s">
        <v>86</v>
      </c>
      <c r="G367" s="2"/>
      <c r="H367" s="2" t="s">
        <v>17</v>
      </c>
      <c r="I367" s="3">
        <v>42244</v>
      </c>
      <c r="J367" s="2" t="str">
        <f>HYPERLINK("https://docs.wto.org/imrd/directdoc.asp?DDFDocuments/t/G/TBTN15/EU296.DOC")</f>
        <v>https://docs.wto.org/imrd/directdoc.asp?DDFDocuments/t/G/TBTN15/EU296.DOC</v>
      </c>
      <c r="K367" s="2" t="str">
        <f>HYPERLINK("https://docs.wto.org/imrd/directdoc.asp?DDFDocuments/u/G/TBTN15/EU296.DOC")</f>
        <v>https://docs.wto.org/imrd/directdoc.asp?DDFDocuments/u/G/TBTN15/EU296.DOC</v>
      </c>
      <c r="L367" s="2" t="str">
        <f>HYPERLINK("https://docs.wto.org/imrd/directdoc.asp?DDFDocuments/v/G/TBTN15/EU296.DOC")</f>
        <v>https://docs.wto.org/imrd/directdoc.asp?DDFDocuments/v/G/TBTN15/EU296.DOC</v>
      </c>
      <c r="M367" s="2" t="str">
        <f>HYPERLINK("http://www.epingalert.org/#/details/G/TBT/N/EU/296")</f>
        <v>http://www.epingalert.org/#/details/G/TBT/N/EU/296</v>
      </c>
      <c r="N367" s="2"/>
      <c r="O367" s="2"/>
    </row>
    <row r="368" spans="1:15" ht="120" outlineLevel="1" x14ac:dyDescent="0.25">
      <c r="A368" s="2" t="s">
        <v>12</v>
      </c>
      <c r="B368" s="4" t="s">
        <v>672</v>
      </c>
      <c r="C368" s="2" t="s">
        <v>301</v>
      </c>
      <c r="D368" s="2" t="s">
        <v>673</v>
      </c>
      <c r="E368" s="3">
        <v>42184</v>
      </c>
      <c r="F368" s="2" t="s">
        <v>86</v>
      </c>
      <c r="G368" s="2"/>
      <c r="H368" s="2" t="s">
        <v>17</v>
      </c>
      <c r="I368" s="3">
        <v>42244</v>
      </c>
      <c r="J368" s="2" t="str">
        <f>HYPERLINK("https://docs.wto.org/imrd/directdoc.asp?DDFDocuments/t/G/TBTN15/EU295.DOC")</f>
        <v>https://docs.wto.org/imrd/directdoc.asp?DDFDocuments/t/G/TBTN15/EU295.DOC</v>
      </c>
      <c r="K368" s="2" t="str">
        <f>HYPERLINK("https://docs.wto.org/imrd/directdoc.asp?DDFDocuments/u/G/TBTN15/EU295.DOC")</f>
        <v>https://docs.wto.org/imrd/directdoc.asp?DDFDocuments/u/G/TBTN15/EU295.DOC</v>
      </c>
      <c r="L368" s="2" t="str">
        <f>HYPERLINK("https://docs.wto.org/imrd/directdoc.asp?DDFDocuments/v/G/TBTN15/EU295.DOC")</f>
        <v>https://docs.wto.org/imrd/directdoc.asp?DDFDocuments/v/G/TBTN15/EU295.DOC</v>
      </c>
      <c r="M368" s="2" t="str">
        <f>HYPERLINK("http://www.epingalert.org/#/details/G/TBT/N/EU/295")</f>
        <v>http://www.epingalert.org/#/details/G/TBT/N/EU/295</v>
      </c>
      <c r="N368" s="2"/>
      <c r="O368" s="2"/>
    </row>
    <row r="369" spans="1:15" ht="409.5" outlineLevel="1" x14ac:dyDescent="0.25">
      <c r="A369" s="2" t="s">
        <v>154</v>
      </c>
      <c r="B369" s="4" t="s">
        <v>674</v>
      </c>
      <c r="C369" s="2" t="s">
        <v>675</v>
      </c>
      <c r="D369" s="2" t="s">
        <v>676</v>
      </c>
      <c r="E369" s="3">
        <v>42179</v>
      </c>
      <c r="F369" s="2" t="s">
        <v>86</v>
      </c>
      <c r="G369" s="2"/>
      <c r="H369" s="2" t="s">
        <v>17</v>
      </c>
      <c r="I369" s="3">
        <v>42239</v>
      </c>
      <c r="J369" s="2" t="str">
        <f>HYPERLINK("https://docs.wto.org/imrd/directdoc.asp?DDFDocuments/t/G/TBTN15/IDN101.DOC")</f>
        <v>https://docs.wto.org/imrd/directdoc.asp?DDFDocuments/t/G/TBTN15/IDN101.DOC</v>
      </c>
      <c r="K369" s="2" t="str">
        <f>HYPERLINK("https://docs.wto.org/imrd/directdoc.asp?DDFDocuments/u/G/TBTN15/IDN101.DOC")</f>
        <v>https://docs.wto.org/imrd/directdoc.asp?DDFDocuments/u/G/TBTN15/IDN101.DOC</v>
      </c>
      <c r="L369" s="2" t="str">
        <f>HYPERLINK("https://docs.wto.org/imrd/directdoc.asp?DDFDocuments/v/G/TBTN15/IDN101.DOC")</f>
        <v>https://docs.wto.org/imrd/directdoc.asp?DDFDocuments/v/G/TBTN15/IDN101.DOC</v>
      </c>
      <c r="M369" s="2" t="str">
        <f>HYPERLINK("http://www.epingalert.org/#/details/G/TBT/N/IDN/101")</f>
        <v>http://www.epingalert.org/#/details/G/TBT/N/IDN/101</v>
      </c>
      <c r="N369" s="2"/>
      <c r="O369" s="2"/>
    </row>
    <row r="370" spans="1:15" ht="120" outlineLevel="1" x14ac:dyDescent="0.25">
      <c r="A370" s="2" t="s">
        <v>12</v>
      </c>
      <c r="B370" s="4" t="s">
        <v>677</v>
      </c>
      <c r="C370" s="2" t="s">
        <v>678</v>
      </c>
      <c r="D370" s="2" t="s">
        <v>679</v>
      </c>
      <c r="E370" s="3">
        <v>42174</v>
      </c>
      <c r="F370" s="2" t="s">
        <v>46</v>
      </c>
      <c r="G370" s="2"/>
      <c r="H370" s="2" t="s">
        <v>17</v>
      </c>
      <c r="I370" s="3">
        <v>42234</v>
      </c>
      <c r="J370" s="2" t="str">
        <f>HYPERLINK("https://docs.wto.org/imrd/directdoc.asp?DDFDocuments/t/G/TBTN15/EU293.DOC")</f>
        <v>https://docs.wto.org/imrd/directdoc.asp?DDFDocuments/t/G/TBTN15/EU293.DOC</v>
      </c>
      <c r="K370" s="2" t="str">
        <f>HYPERLINK("https://docs.wto.org/imrd/directdoc.asp?DDFDocuments/u/G/TBTN15/EU293.DOC")</f>
        <v>https://docs.wto.org/imrd/directdoc.asp?DDFDocuments/u/G/TBTN15/EU293.DOC</v>
      </c>
      <c r="L370" s="2" t="str">
        <f>HYPERLINK("https://docs.wto.org/imrd/directdoc.asp?DDFDocuments/v/G/TBTN15/EU293.DOC")</f>
        <v>https://docs.wto.org/imrd/directdoc.asp?DDFDocuments/v/G/TBTN15/EU293.DOC</v>
      </c>
      <c r="M370" s="2" t="str">
        <f>HYPERLINK("http://www.epingalert.org/#/details/G/TBT/N/EU/293")</f>
        <v>http://www.epingalert.org/#/details/G/TBT/N/EU/293</v>
      </c>
      <c r="N370" s="2"/>
      <c r="O370" s="2"/>
    </row>
    <row r="371" spans="1:15" ht="135" outlineLevel="1" x14ac:dyDescent="0.25">
      <c r="A371" s="2" t="s">
        <v>12</v>
      </c>
      <c r="B371" s="4" t="s">
        <v>680</v>
      </c>
      <c r="C371" s="2" t="s">
        <v>681</v>
      </c>
      <c r="D371" s="2" t="s">
        <v>682</v>
      </c>
      <c r="E371" s="3">
        <v>42174</v>
      </c>
      <c r="F371" s="2" t="s">
        <v>46</v>
      </c>
      <c r="G371" s="2"/>
      <c r="H371" s="2" t="s">
        <v>17</v>
      </c>
      <c r="I371" s="3">
        <v>42234</v>
      </c>
      <c r="J371" s="2" t="str">
        <f>HYPERLINK("https://docs.wto.org/imrd/directdoc.asp?DDFDocuments/t/G/TBTN15/EU292.DOC")</f>
        <v>https://docs.wto.org/imrd/directdoc.asp?DDFDocuments/t/G/TBTN15/EU292.DOC</v>
      </c>
      <c r="K371" s="2" t="str">
        <f>HYPERLINK("https://docs.wto.org/imrd/directdoc.asp?DDFDocuments/u/G/TBTN15/EU292.DOC")</f>
        <v>https://docs.wto.org/imrd/directdoc.asp?DDFDocuments/u/G/TBTN15/EU292.DOC</v>
      </c>
      <c r="L371" s="2" t="str">
        <f>HYPERLINK("https://docs.wto.org/imrd/directdoc.asp?DDFDocuments/v/G/TBTN15/EU292.DOC")</f>
        <v>https://docs.wto.org/imrd/directdoc.asp?DDFDocuments/v/G/TBTN15/EU292.DOC</v>
      </c>
      <c r="M371" s="2" t="str">
        <f>HYPERLINK("http://www.epingalert.org/#/details/G/TBT/N/EU/292")</f>
        <v>http://www.epingalert.org/#/details/G/TBT/N/EU/292</v>
      </c>
      <c r="N371" s="2"/>
      <c r="O371" s="2"/>
    </row>
    <row r="372" spans="1:15" ht="150" outlineLevel="1" x14ac:dyDescent="0.25">
      <c r="A372" s="2" t="s">
        <v>12</v>
      </c>
      <c r="B372" s="4" t="s">
        <v>683</v>
      </c>
      <c r="C372" s="2" t="s">
        <v>684</v>
      </c>
      <c r="D372" s="2" t="s">
        <v>685</v>
      </c>
      <c r="E372" s="3">
        <v>42174</v>
      </c>
      <c r="F372" s="2" t="s">
        <v>46</v>
      </c>
      <c r="G372" s="2"/>
      <c r="H372" s="2" t="s">
        <v>17</v>
      </c>
      <c r="I372" s="3">
        <v>42234</v>
      </c>
      <c r="J372" s="2" t="str">
        <f>HYPERLINK("https://docs.wto.org/imrd/directdoc.asp?DDFDocuments/t/G/TBTN15/EU291.DOC")</f>
        <v>https://docs.wto.org/imrd/directdoc.asp?DDFDocuments/t/G/TBTN15/EU291.DOC</v>
      </c>
      <c r="K372" s="2" t="str">
        <f>HYPERLINK("https://docs.wto.org/imrd/directdoc.asp?DDFDocuments/u/G/TBTN15/EU291.DOC")</f>
        <v>https://docs.wto.org/imrd/directdoc.asp?DDFDocuments/u/G/TBTN15/EU291.DOC</v>
      </c>
      <c r="L372" s="2" t="str">
        <f>HYPERLINK("https://docs.wto.org/imrd/directdoc.asp?DDFDocuments/v/G/TBTN15/EU291.DOC")</f>
        <v>https://docs.wto.org/imrd/directdoc.asp?DDFDocuments/v/G/TBTN15/EU291.DOC</v>
      </c>
      <c r="M372" s="2" t="str">
        <f>HYPERLINK("http://www.epingalert.org/#/details/G/TBT/N/EU/291")</f>
        <v>http://www.epingalert.org/#/details/G/TBT/N/EU/291</v>
      </c>
      <c r="N372" s="2"/>
      <c r="O372" s="2"/>
    </row>
    <row r="373" spans="1:15" ht="60" outlineLevel="1" x14ac:dyDescent="0.25">
      <c r="A373" s="2" t="s">
        <v>37</v>
      </c>
      <c r="B373" s="4" t="s">
        <v>686</v>
      </c>
      <c r="C373" s="2" t="s">
        <v>687</v>
      </c>
      <c r="D373" s="2" t="s">
        <v>688</v>
      </c>
      <c r="E373" s="3">
        <v>42174</v>
      </c>
      <c r="F373" s="2" t="s">
        <v>689</v>
      </c>
      <c r="G373" s="2"/>
      <c r="H373" s="2" t="s">
        <v>17</v>
      </c>
      <c r="I373" s="3">
        <v>42234</v>
      </c>
      <c r="J373" s="2" t="str">
        <f>HYPERLINK("https://docs.wto.org/imrd/directdoc.asp?DDFDocuments/t/G/TBTN15/TUR64.DOC")</f>
        <v>https://docs.wto.org/imrd/directdoc.asp?DDFDocuments/t/G/TBTN15/TUR64.DOC</v>
      </c>
      <c r="K373" s="2" t="str">
        <f>HYPERLINK("https://docs.wto.org/imrd/directdoc.asp?DDFDocuments/u/G/TBTN15/TUR64.DOC")</f>
        <v>https://docs.wto.org/imrd/directdoc.asp?DDFDocuments/u/G/TBTN15/TUR64.DOC</v>
      </c>
      <c r="L373" s="2" t="str">
        <f>HYPERLINK("https://docs.wto.org/imrd/directdoc.asp?DDFDocuments/v/G/TBTN15/TUR64.DOC")</f>
        <v>https://docs.wto.org/imrd/directdoc.asp?DDFDocuments/v/G/TBTN15/TUR64.DOC</v>
      </c>
      <c r="M373" s="2" t="str">
        <f>HYPERLINK("http://www.epingalert.org/#/details/G/TBT/N/TUR/64")</f>
        <v>http://www.epingalert.org/#/details/G/TBT/N/TUR/64</v>
      </c>
      <c r="N373" s="2"/>
      <c r="O373" s="2"/>
    </row>
    <row r="374" spans="1:15" ht="105" outlineLevel="1" x14ac:dyDescent="0.25">
      <c r="A374" s="2" t="s">
        <v>184</v>
      </c>
      <c r="B374" s="4" t="s">
        <v>1758</v>
      </c>
      <c r="C374" s="2" t="s">
        <v>1759</v>
      </c>
      <c r="D374" s="2" t="s">
        <v>1760</v>
      </c>
      <c r="E374" s="3">
        <v>42174</v>
      </c>
      <c r="F374" s="2"/>
      <c r="G374" s="2" t="s">
        <v>1515</v>
      </c>
      <c r="H374" s="2" t="s">
        <v>127</v>
      </c>
      <c r="I374" s="3">
        <v>42234</v>
      </c>
      <c r="J374" s="2" t="str">
        <f>HYPERLINK("https://docs.wto.org/imrd/directdoc.asp?DDFDocuments/t/G/TBTN15/ARE262.DOC")</f>
        <v>https://docs.wto.org/imrd/directdoc.asp?DDFDocuments/t/G/TBTN15/ARE262.DOC</v>
      </c>
      <c r="K374" s="2" t="str">
        <f>HYPERLINK("https://docs.wto.org/imrd/directdoc.asp?DDFDocuments/u/G/TBTN15/ARE262.DOC")</f>
        <v>https://docs.wto.org/imrd/directdoc.asp?DDFDocuments/u/G/TBTN15/ARE262.DOC</v>
      </c>
      <c r="L374" s="2" t="str">
        <f>HYPERLINK("https://docs.wto.org/imrd/directdoc.asp?DDFDocuments/v/G/TBTN15/ARE262.DOC")</f>
        <v>https://docs.wto.org/imrd/directdoc.asp?DDFDocuments/v/G/TBTN15/ARE262.DOC</v>
      </c>
      <c r="M374" s="2" t="str">
        <f>HYPERLINK("http://www.epingalert.org/#/details/G/TBT/N/ARE/262")</f>
        <v>http://www.epingalert.org/#/details/G/TBT/N/ARE/262</v>
      </c>
      <c r="N374" s="2"/>
      <c r="O374" s="2"/>
    </row>
    <row r="375" spans="1:15" ht="255" outlineLevel="1" x14ac:dyDescent="0.25">
      <c r="A375" s="2" t="s">
        <v>77</v>
      </c>
      <c r="B375" s="4" t="s">
        <v>690</v>
      </c>
      <c r="C375" s="2" t="s">
        <v>691</v>
      </c>
      <c r="D375" s="2" t="s">
        <v>692</v>
      </c>
      <c r="E375" s="3">
        <v>42174</v>
      </c>
      <c r="F375" s="2" t="s">
        <v>693</v>
      </c>
      <c r="G375" s="2"/>
      <c r="H375" s="2" t="s">
        <v>82</v>
      </c>
      <c r="I375" s="2"/>
      <c r="J375" s="2" t="str">
        <f>HYPERLINK("https://docs.wto.org/imrd/directdoc.asp?DDFDocuments/t/G/TBTN15/TPKM207.DOC")</f>
        <v>https://docs.wto.org/imrd/directdoc.asp?DDFDocuments/t/G/TBTN15/TPKM207.DOC</v>
      </c>
      <c r="K375" s="2" t="str">
        <f>HYPERLINK("https://docs.wto.org/imrd/directdoc.asp?DDFDocuments/u/G/TBTN15/TPKM207.DOC")</f>
        <v>https://docs.wto.org/imrd/directdoc.asp?DDFDocuments/u/G/TBTN15/TPKM207.DOC</v>
      </c>
      <c r="L375" s="2" t="str">
        <f>HYPERLINK("https://docs.wto.org/imrd/directdoc.asp?DDFDocuments/v/G/TBTN15/TPKM207.DOC")</f>
        <v>https://docs.wto.org/imrd/directdoc.asp?DDFDocuments/v/G/TBTN15/TPKM207.DOC</v>
      </c>
      <c r="M375" s="2" t="str">
        <f>HYPERLINK("http://www.epingalert.org/#/details/G/TBT/N/TPKM/207")</f>
        <v>http://www.epingalert.org/#/details/G/TBT/N/TPKM/207</v>
      </c>
      <c r="N375" s="2"/>
      <c r="O375" s="2"/>
    </row>
    <row r="376" spans="1:15" ht="409.5" outlineLevel="1" x14ac:dyDescent="0.25">
      <c r="A376" s="2" t="s">
        <v>2180</v>
      </c>
      <c r="B376" s="4" t="s">
        <v>2181</v>
      </c>
      <c r="C376" s="2" t="s">
        <v>2182</v>
      </c>
      <c r="D376" s="2" t="s">
        <v>2183</v>
      </c>
      <c r="E376" s="3">
        <v>42172</v>
      </c>
      <c r="F376" s="2" t="s">
        <v>2184</v>
      </c>
      <c r="G376" s="2" t="s">
        <v>2185</v>
      </c>
      <c r="H376" s="2" t="s">
        <v>1006</v>
      </c>
      <c r="I376" s="2"/>
      <c r="J376" s="2" t="str">
        <f>HYPERLINK("https://docs.wto.org/imrd/directdoc.asp?DDFDocuments/t/G/TBTN15/GBR25.DOC")</f>
        <v>https://docs.wto.org/imrd/directdoc.asp?DDFDocuments/t/G/TBTN15/GBR25.DOC</v>
      </c>
      <c r="K376" s="2" t="str">
        <f>HYPERLINK("https://docs.wto.org/imrd/directdoc.asp?DDFDocuments/u/G/TBTN15/GBR25.DOC")</f>
        <v>https://docs.wto.org/imrd/directdoc.asp?DDFDocuments/u/G/TBTN15/GBR25.DOC</v>
      </c>
      <c r="L376" s="2" t="str">
        <f>HYPERLINK("https://docs.wto.org/imrd/directdoc.asp?DDFDocuments/v/G/TBTN15/GBR25.DOC")</f>
        <v>https://docs.wto.org/imrd/directdoc.asp?DDFDocuments/v/G/TBTN15/GBR25.DOC</v>
      </c>
      <c r="M376" s="2" t="str">
        <f>HYPERLINK("http://www.epingalert.org/#/details/G/TBT/N/GBR/25")</f>
        <v>http://www.epingalert.org/#/details/G/TBT/N/GBR/25</v>
      </c>
      <c r="N376" s="2"/>
      <c r="O376" s="2"/>
    </row>
    <row r="377" spans="1:15" ht="165" outlineLevel="1" x14ac:dyDescent="0.25">
      <c r="A377" s="2" t="s">
        <v>77</v>
      </c>
      <c r="B377" s="4" t="s">
        <v>694</v>
      </c>
      <c r="C377" s="2" t="s">
        <v>695</v>
      </c>
      <c r="D377" s="2" t="s">
        <v>696</v>
      </c>
      <c r="E377" s="3">
        <v>42160</v>
      </c>
      <c r="F377" s="2" t="s">
        <v>697</v>
      </c>
      <c r="G377" s="2" t="s">
        <v>698</v>
      </c>
      <c r="H377" s="2" t="s">
        <v>699</v>
      </c>
      <c r="I377" s="3">
        <v>42220</v>
      </c>
      <c r="J377" s="2" t="str">
        <f>HYPERLINK("https://docs.wto.org/imrd/directdoc.asp?DDFDocuments/t/G/TBTN15/TPKM205.DOC")</f>
        <v>https://docs.wto.org/imrd/directdoc.asp?DDFDocuments/t/G/TBTN15/TPKM205.DOC</v>
      </c>
      <c r="K377" s="2" t="str">
        <f>HYPERLINK("https://docs.wto.org/imrd/directdoc.asp?DDFDocuments/u/G/TBTN15/TPKM205.DOC")</f>
        <v>https://docs.wto.org/imrd/directdoc.asp?DDFDocuments/u/G/TBTN15/TPKM205.DOC</v>
      </c>
      <c r="L377" s="2" t="str">
        <f>HYPERLINK("https://docs.wto.org/imrd/directdoc.asp?DDFDocuments/v/G/TBTN15/TPKM205.DOC")</f>
        <v>https://docs.wto.org/imrd/directdoc.asp?DDFDocuments/v/G/TBTN15/TPKM205.DOC</v>
      </c>
      <c r="M377" s="2" t="str">
        <f>HYPERLINK("http://www.epingalert.org/#/details/G/TBT/N/TPKM/205")</f>
        <v>http://www.epingalert.org/#/details/G/TBT/N/TPKM/205</v>
      </c>
      <c r="N377" s="2"/>
      <c r="O377" s="2"/>
    </row>
    <row r="378" spans="1:15" ht="120" outlineLevel="1" x14ac:dyDescent="0.25">
      <c r="A378" s="2" t="s">
        <v>42</v>
      </c>
      <c r="B378" s="4" t="s">
        <v>2186</v>
      </c>
      <c r="C378" s="2" t="s">
        <v>2187</v>
      </c>
      <c r="D378" s="2" t="s">
        <v>2188</v>
      </c>
      <c r="E378" s="3">
        <v>42159</v>
      </c>
      <c r="F378" s="2" t="s">
        <v>2189</v>
      </c>
      <c r="G378" s="2" t="s">
        <v>2190</v>
      </c>
      <c r="H378" s="2" t="s">
        <v>198</v>
      </c>
      <c r="I378" s="3">
        <v>42184</v>
      </c>
      <c r="J378" s="2" t="str">
        <f>HYPERLINK("https://docs.wto.org/imrd/directdoc.asp?DDFDocuments/t/G/TBTN15/BRA639.DOC")</f>
        <v>https://docs.wto.org/imrd/directdoc.asp?DDFDocuments/t/G/TBTN15/BRA639.DOC</v>
      </c>
      <c r="K378" s="2" t="str">
        <f>HYPERLINK("https://docs.wto.org/imrd/directdoc.asp?DDFDocuments/u/G/TBTN15/BRA639.DOC")</f>
        <v>https://docs.wto.org/imrd/directdoc.asp?DDFDocuments/u/G/TBTN15/BRA639.DOC</v>
      </c>
      <c r="L378" s="2" t="str">
        <f>HYPERLINK("https://docs.wto.org/imrd/directdoc.asp?DDFDocuments/v/G/TBTN15/BRA639.DOC")</f>
        <v>https://docs.wto.org/imrd/directdoc.asp?DDFDocuments/v/G/TBTN15/BRA639.DOC</v>
      </c>
      <c r="M378" s="2" t="str">
        <f>HYPERLINK("http://www.epingalert.org/#/details/G/TBT/N/BRA/639")</f>
        <v>http://www.epingalert.org/#/details/G/TBT/N/BRA/639</v>
      </c>
      <c r="N378" s="2"/>
      <c r="O378" s="2"/>
    </row>
    <row r="379" spans="1:15" ht="165" outlineLevel="1" x14ac:dyDescent="0.25">
      <c r="A379" s="2" t="s">
        <v>42</v>
      </c>
      <c r="B379" s="4" t="s">
        <v>704</v>
      </c>
      <c r="C379" s="2" t="s">
        <v>705</v>
      </c>
      <c r="D379" s="2" t="s">
        <v>706</v>
      </c>
      <c r="E379" s="3">
        <v>42144</v>
      </c>
      <c r="F379" s="2" t="s">
        <v>707</v>
      </c>
      <c r="G379" s="2"/>
      <c r="H379" s="2" t="s">
        <v>17</v>
      </c>
      <c r="I379" s="3">
        <v>42205</v>
      </c>
      <c r="J379" s="2" t="str">
        <f>HYPERLINK("https://docs.wto.org/imrd/directdoc.asp?DDFDocuments/t/G/TBTN15/BRA636.DOC")</f>
        <v>https://docs.wto.org/imrd/directdoc.asp?DDFDocuments/t/G/TBTN15/BRA636.DOC</v>
      </c>
      <c r="K379" s="2" t="str">
        <f>HYPERLINK("https://docs.wto.org/imrd/directdoc.asp?DDFDocuments/u/G/TBTN15/BRA636.DOC")</f>
        <v>https://docs.wto.org/imrd/directdoc.asp?DDFDocuments/u/G/TBTN15/BRA636.DOC</v>
      </c>
      <c r="L379" s="2" t="str">
        <f>HYPERLINK("https://docs.wto.org/imrd/directdoc.asp?DDFDocuments/v/G/TBTN15/BRA636.DOC")</f>
        <v>https://docs.wto.org/imrd/directdoc.asp?DDFDocuments/v/G/TBTN15/BRA636.DOC</v>
      </c>
      <c r="M379" s="2" t="str">
        <f>HYPERLINK("http://www.epingalert.org/#/details/G/TBT/N/BRA/636")</f>
        <v>http://www.epingalert.org/#/details/G/TBT/N/BRA/636</v>
      </c>
      <c r="N379" s="2"/>
      <c r="O379" s="2"/>
    </row>
    <row r="380" spans="1:15" ht="330" outlineLevel="1" x14ac:dyDescent="0.25">
      <c r="A380" s="2" t="s">
        <v>12</v>
      </c>
      <c r="B380" s="4" t="s">
        <v>700</v>
      </c>
      <c r="C380" s="2" t="s">
        <v>701</v>
      </c>
      <c r="D380" s="2" t="s">
        <v>702</v>
      </c>
      <c r="E380" s="3">
        <v>42144</v>
      </c>
      <c r="F380" s="2" t="s">
        <v>703</v>
      </c>
      <c r="G380" s="2"/>
      <c r="H380" s="2"/>
      <c r="I380" s="3">
        <v>42204</v>
      </c>
      <c r="J380" s="2" t="str">
        <f>HYPERLINK("https://docs.wto.org/imrd/directdoc.asp?DDFDocuments/t/G/TBTN15/EU284.DOC")</f>
        <v>https://docs.wto.org/imrd/directdoc.asp?DDFDocuments/t/G/TBTN15/EU284.DOC</v>
      </c>
      <c r="K380" s="2" t="str">
        <f>HYPERLINK("https://docs.wto.org/imrd/directdoc.asp?DDFDocuments/u/G/TBTN15/EU284.DOC")</f>
        <v>https://docs.wto.org/imrd/directdoc.asp?DDFDocuments/u/G/TBTN15/EU284.DOC</v>
      </c>
      <c r="L380" s="2" t="str">
        <f>HYPERLINK("https://docs.wto.org/imrd/directdoc.asp?DDFDocuments/v/G/TBTN15/EU284.DOC")</f>
        <v>https://docs.wto.org/imrd/directdoc.asp?DDFDocuments/v/G/TBTN15/EU284.DOC</v>
      </c>
      <c r="M380" s="2" t="str">
        <f>HYPERLINK("http://www.epingalert.org/#/details/G/TBT/N/EU/284")</f>
        <v>http://www.epingalert.org/#/details/G/TBT/N/EU/284</v>
      </c>
      <c r="N380" s="2"/>
      <c r="O380" s="2"/>
    </row>
    <row r="381" spans="1:15" ht="330" outlineLevel="1" x14ac:dyDescent="0.25">
      <c r="A381" s="2" t="s">
        <v>18</v>
      </c>
      <c r="B381" s="4" t="s">
        <v>708</v>
      </c>
      <c r="C381" s="2" t="s">
        <v>709</v>
      </c>
      <c r="D381" s="2" t="s">
        <v>710</v>
      </c>
      <c r="E381" s="3">
        <v>42143</v>
      </c>
      <c r="F381" s="2" t="s">
        <v>711</v>
      </c>
      <c r="G381" s="2" t="s">
        <v>712</v>
      </c>
      <c r="H381" s="2" t="s">
        <v>17</v>
      </c>
      <c r="I381" s="3">
        <v>42163</v>
      </c>
      <c r="J381" s="2" t="str">
        <f>HYPERLINK("https://docs.wto.org/imrd/directdoc.asp?DDFDocuments/t/G/TBTN15/USA992.DOC")</f>
        <v>https://docs.wto.org/imrd/directdoc.asp?DDFDocuments/t/G/TBTN15/USA992.DOC</v>
      </c>
      <c r="K381" s="2" t="str">
        <f>HYPERLINK("https://docs.wto.org/imrd/directdoc.asp?DDFDocuments/u/G/TBTN15/USA992.DOC")</f>
        <v>https://docs.wto.org/imrd/directdoc.asp?DDFDocuments/u/G/TBTN15/USA992.DOC</v>
      </c>
      <c r="L381" s="2" t="str">
        <f>HYPERLINK("https://docs.wto.org/imrd/directdoc.asp?DDFDocuments/v/G/TBTN15/USA992.DOC")</f>
        <v>https://docs.wto.org/imrd/directdoc.asp?DDFDocuments/v/G/TBTN15/USA992.DOC</v>
      </c>
      <c r="M381" s="2" t="str">
        <f>HYPERLINK("http://www.epingalert.org/#/details/G/TBT/N/USA/992")</f>
        <v>http://www.epingalert.org/#/details/G/TBT/N/USA/992</v>
      </c>
      <c r="N381" s="2"/>
      <c r="O381" s="2"/>
    </row>
    <row r="382" spans="1:15" ht="105" outlineLevel="1" x14ac:dyDescent="0.25">
      <c r="A382" s="2" t="s">
        <v>179</v>
      </c>
      <c r="B382" s="4" t="s">
        <v>713</v>
      </c>
      <c r="C382" s="2" t="s">
        <v>714</v>
      </c>
      <c r="D382" s="2" t="s">
        <v>715</v>
      </c>
      <c r="E382" s="3">
        <v>42142</v>
      </c>
      <c r="F382" s="2" t="s">
        <v>716</v>
      </c>
      <c r="G382" s="2"/>
      <c r="H382" s="2" t="s">
        <v>17</v>
      </c>
      <c r="I382" s="3">
        <v>42202</v>
      </c>
      <c r="J382" s="2" t="str">
        <f>HYPERLINK("https://docs.wto.org/imrd/directdoc.asp?DDFDocuments/t/G/TBTN15/OMN206.DOC")</f>
        <v>https://docs.wto.org/imrd/directdoc.asp?DDFDocuments/t/G/TBTN15/OMN206.DOC</v>
      </c>
      <c r="K382" s="2" t="str">
        <f>HYPERLINK("https://docs.wto.org/imrd/directdoc.asp?DDFDocuments/u/G/TBTN15/OMN206.DOC")</f>
        <v>https://docs.wto.org/imrd/directdoc.asp?DDFDocuments/u/G/TBTN15/OMN206.DOC</v>
      </c>
      <c r="L382" s="2" t="str">
        <f>HYPERLINK("https://docs.wto.org/imrd/directdoc.asp?DDFDocuments/v/G/TBTN15/OMN206.DOC")</f>
        <v>https://docs.wto.org/imrd/directdoc.asp?DDFDocuments/v/G/TBTN15/OMN206.DOC</v>
      </c>
      <c r="M382" s="2" t="str">
        <f>HYPERLINK("http://www.epingalert.org/#/details/G/TBT/N/OMN/206")</f>
        <v>http://www.epingalert.org/#/details/G/TBT/N/OMN/206</v>
      </c>
      <c r="N382" s="2"/>
      <c r="O382" s="2"/>
    </row>
    <row r="383" spans="1:15" ht="285" outlineLevel="1" x14ac:dyDescent="0.25">
      <c r="A383" s="2" t="s">
        <v>31</v>
      </c>
      <c r="B383" s="4" t="s">
        <v>1530</v>
      </c>
      <c r="C383" s="2" t="s">
        <v>1531</v>
      </c>
      <c r="D383" s="2" t="s">
        <v>1532</v>
      </c>
      <c r="E383" s="3">
        <v>42142</v>
      </c>
      <c r="F383" s="2" t="s">
        <v>1533</v>
      </c>
      <c r="G383" s="2" t="s">
        <v>1534</v>
      </c>
      <c r="H383" s="2" t="s">
        <v>1257</v>
      </c>
      <c r="I383" s="3">
        <v>42202</v>
      </c>
      <c r="J383" s="2" t="str">
        <f>HYPERLINK("https://docs.wto.org/imrd/directdoc.asp?DDFDocuments/t/G/TBTN15/THA460.DOC")</f>
        <v>https://docs.wto.org/imrd/directdoc.asp?DDFDocuments/t/G/TBTN15/THA460.DOC</v>
      </c>
      <c r="K383" s="2" t="str">
        <f>HYPERLINK("https://docs.wto.org/imrd/directdoc.asp?DDFDocuments/u/G/TBTN15/THA460.DOC")</f>
        <v>https://docs.wto.org/imrd/directdoc.asp?DDFDocuments/u/G/TBTN15/THA460.DOC</v>
      </c>
      <c r="L383" s="2" t="str">
        <f>HYPERLINK("https://docs.wto.org/imrd/directdoc.asp?DDFDocuments/v/G/TBTN15/THA460.DOC")</f>
        <v>https://docs.wto.org/imrd/directdoc.asp?DDFDocuments/v/G/TBTN15/THA460.DOC</v>
      </c>
      <c r="M383" s="2" t="str">
        <f>HYPERLINK("http://www.epingalert.org/#/details/G/TBT/N/THA/460")</f>
        <v>http://www.epingalert.org/#/details/G/TBT/N/THA/460</v>
      </c>
      <c r="N383" s="2"/>
      <c r="O383" s="2"/>
    </row>
    <row r="384" spans="1:15" ht="120" outlineLevel="1" x14ac:dyDescent="0.25">
      <c r="A384" s="2" t="s">
        <v>312</v>
      </c>
      <c r="B384" s="4" t="s">
        <v>2191</v>
      </c>
      <c r="C384" s="2" t="s">
        <v>2192</v>
      </c>
      <c r="D384" s="2" t="s">
        <v>2193</v>
      </c>
      <c r="E384" s="3">
        <v>42142</v>
      </c>
      <c r="F384" s="2"/>
      <c r="G384" s="2" t="s">
        <v>2194</v>
      </c>
      <c r="H384" s="2" t="s">
        <v>198</v>
      </c>
      <c r="I384" s="3">
        <v>42202</v>
      </c>
      <c r="J384" s="2" t="str">
        <f>HYPERLINK("https://docs.wto.org/imrd/directdoc.asp?DDFDocuments/t/G/TBTN15/UGA488.DOC")</f>
        <v>https://docs.wto.org/imrd/directdoc.asp?DDFDocuments/t/G/TBTN15/UGA488.DOC</v>
      </c>
      <c r="K384" s="2" t="str">
        <f>HYPERLINK("https://docs.wto.org/imrd/directdoc.asp?DDFDocuments/u/G/TBTN15/UGA488.DOC")</f>
        <v>https://docs.wto.org/imrd/directdoc.asp?DDFDocuments/u/G/TBTN15/UGA488.DOC</v>
      </c>
      <c r="L384" s="2" t="str">
        <f>HYPERLINK("https://docs.wto.org/imrd/directdoc.asp?DDFDocuments/v/G/TBTN15/UGA488.DOC")</f>
        <v>https://docs.wto.org/imrd/directdoc.asp?DDFDocuments/v/G/TBTN15/UGA488.DOC</v>
      </c>
      <c r="M384" s="2" t="str">
        <f>HYPERLINK("http://www.epingalert.org/#/details/G/TBT/N/UGA/488")</f>
        <v>http://www.epingalert.org/#/details/G/TBT/N/UGA/488</v>
      </c>
      <c r="N384" s="2"/>
      <c r="O384" s="2"/>
    </row>
    <row r="385" spans="1:15" ht="120" outlineLevel="1" x14ac:dyDescent="0.25">
      <c r="A385" s="2" t="s">
        <v>312</v>
      </c>
      <c r="B385" s="4" t="s">
        <v>2195</v>
      </c>
      <c r="C385" s="2" t="s">
        <v>2196</v>
      </c>
      <c r="D385" s="2" t="s">
        <v>2197</v>
      </c>
      <c r="E385" s="3">
        <v>42142</v>
      </c>
      <c r="F385" s="2"/>
      <c r="G385" s="2" t="s">
        <v>2198</v>
      </c>
      <c r="H385" s="2" t="s">
        <v>198</v>
      </c>
      <c r="I385" s="3">
        <v>42202</v>
      </c>
      <c r="J385" s="2" t="str">
        <f>HYPERLINK("https://docs.wto.org/imrd/directdoc.asp?DDFDocuments/t/G/TBTN15/UGA487.DOC")</f>
        <v>https://docs.wto.org/imrd/directdoc.asp?DDFDocuments/t/G/TBTN15/UGA487.DOC</v>
      </c>
      <c r="K385" s="2" t="str">
        <f>HYPERLINK("https://docs.wto.org/imrd/directdoc.asp?DDFDocuments/u/G/TBTN15/UGA487.DOC")</f>
        <v>https://docs.wto.org/imrd/directdoc.asp?DDFDocuments/u/G/TBTN15/UGA487.DOC</v>
      </c>
      <c r="L385" s="2" t="str">
        <f>HYPERLINK("https://docs.wto.org/imrd/directdoc.asp?DDFDocuments/v/G/TBTN15/UGA487.DOC")</f>
        <v>https://docs.wto.org/imrd/directdoc.asp?DDFDocuments/v/G/TBTN15/UGA487.DOC</v>
      </c>
      <c r="M385" s="2" t="str">
        <f>HYPERLINK("http://www.epingalert.org/#/details/G/TBT/N/UGA/487")</f>
        <v>http://www.epingalert.org/#/details/G/TBT/N/UGA/487</v>
      </c>
      <c r="N385" s="2"/>
      <c r="O385" s="2"/>
    </row>
    <row r="386" spans="1:15" ht="120" outlineLevel="1" x14ac:dyDescent="0.25">
      <c r="A386" s="2" t="s">
        <v>312</v>
      </c>
      <c r="B386" s="4" t="s">
        <v>2199</v>
      </c>
      <c r="C386" s="2" t="s">
        <v>2200</v>
      </c>
      <c r="D386" s="2" t="s">
        <v>2201</v>
      </c>
      <c r="E386" s="3">
        <v>42142</v>
      </c>
      <c r="F386" s="2"/>
      <c r="G386" s="2" t="s">
        <v>2202</v>
      </c>
      <c r="H386" s="2" t="s">
        <v>198</v>
      </c>
      <c r="I386" s="3">
        <v>42202</v>
      </c>
      <c r="J386" s="2" t="str">
        <f>HYPERLINK("https://docs.wto.org/imrd/directdoc.asp?DDFDocuments/t/G/TBTN15/UGA485.DOC")</f>
        <v>https://docs.wto.org/imrd/directdoc.asp?DDFDocuments/t/G/TBTN15/UGA485.DOC</v>
      </c>
      <c r="K386" s="2" t="str">
        <f>HYPERLINK("https://docs.wto.org/imrd/directdoc.asp?DDFDocuments/u/G/TBTN15/UGA485.DOC")</f>
        <v>https://docs.wto.org/imrd/directdoc.asp?DDFDocuments/u/G/TBTN15/UGA485.DOC</v>
      </c>
      <c r="L386" s="2" t="str">
        <f>HYPERLINK("https://docs.wto.org/imrd/directdoc.asp?DDFDocuments/v/G/TBTN15/UGA485.DOC")</f>
        <v>https://docs.wto.org/imrd/directdoc.asp?DDFDocuments/v/G/TBTN15/UGA485.DOC</v>
      </c>
      <c r="M386" s="2" t="str">
        <f>HYPERLINK("http://www.epingalert.org/#/details/G/TBT/N/UGA/485")</f>
        <v>http://www.epingalert.org/#/details/G/TBT/N/UGA/485</v>
      </c>
      <c r="N386" s="2"/>
      <c r="O386" s="2"/>
    </row>
    <row r="387" spans="1:15" ht="120" outlineLevel="1" x14ac:dyDescent="0.25">
      <c r="A387" s="2" t="s">
        <v>312</v>
      </c>
      <c r="B387" s="4" t="s">
        <v>2203</v>
      </c>
      <c r="C387" s="2" t="s">
        <v>2204</v>
      </c>
      <c r="D387" s="2" t="s">
        <v>2205</v>
      </c>
      <c r="E387" s="3">
        <v>42142</v>
      </c>
      <c r="F387" s="2"/>
      <c r="G387" s="2" t="s">
        <v>2206</v>
      </c>
      <c r="H387" s="2" t="s">
        <v>198</v>
      </c>
      <c r="I387" s="3">
        <v>42202</v>
      </c>
      <c r="J387" s="2" t="str">
        <f>HYPERLINK("https://docs.wto.org/imrd/directdoc.asp?DDFDocuments/t/G/TBTN15/UGA483.DOC")</f>
        <v>https://docs.wto.org/imrd/directdoc.asp?DDFDocuments/t/G/TBTN15/UGA483.DOC</v>
      </c>
      <c r="K387" s="2" t="str">
        <f>HYPERLINK("https://docs.wto.org/imrd/directdoc.asp?DDFDocuments/u/G/TBTN15/UGA483.DOC")</f>
        <v>https://docs.wto.org/imrd/directdoc.asp?DDFDocuments/u/G/TBTN15/UGA483.DOC</v>
      </c>
      <c r="L387" s="2" t="str">
        <f>HYPERLINK("https://docs.wto.org/imrd/directdoc.asp?DDFDocuments/v/G/TBTN15/UGA483.DOC")</f>
        <v>https://docs.wto.org/imrd/directdoc.asp?DDFDocuments/v/G/TBTN15/UGA483.DOC</v>
      </c>
      <c r="M387" s="2" t="str">
        <f>HYPERLINK("http://www.epingalert.org/#/details/G/TBT/N/UGA/483")</f>
        <v>http://www.epingalert.org/#/details/G/TBT/N/UGA/483</v>
      </c>
      <c r="N387" s="2"/>
      <c r="O387" s="2"/>
    </row>
    <row r="388" spans="1:15" ht="285" outlineLevel="1" x14ac:dyDescent="0.25">
      <c r="A388" s="2" t="s">
        <v>181</v>
      </c>
      <c r="B388" s="4" t="s">
        <v>717</v>
      </c>
      <c r="C388" s="2" t="s">
        <v>718</v>
      </c>
      <c r="D388" s="2" t="s">
        <v>719</v>
      </c>
      <c r="E388" s="3">
        <v>42125</v>
      </c>
      <c r="F388" s="2" t="s">
        <v>720</v>
      </c>
      <c r="G388" s="2"/>
      <c r="H388" s="2" t="s">
        <v>721</v>
      </c>
      <c r="I388" s="3">
        <v>42185</v>
      </c>
      <c r="J388" s="2" t="str">
        <f>HYPERLINK("https://docs.wto.org/imrd/directdoc.asp?DDFDocuments/t/G/TBTN15/BHR389.DOC")</f>
        <v>https://docs.wto.org/imrd/directdoc.asp?DDFDocuments/t/G/TBTN15/BHR389.DOC</v>
      </c>
      <c r="K388" s="2" t="str">
        <f>HYPERLINK("https://docs.wto.org/imrd/directdoc.asp?DDFDocuments/u/G/TBTN15/BHR389.DOC")</f>
        <v>https://docs.wto.org/imrd/directdoc.asp?DDFDocuments/u/G/TBTN15/BHR389.DOC</v>
      </c>
      <c r="L388" s="2" t="str">
        <f>HYPERLINK("https://docs.wto.org/imrd/directdoc.asp?DDFDocuments/v/G/TBTN15/BHR389.DOC")</f>
        <v>https://docs.wto.org/imrd/directdoc.asp?DDFDocuments/v/G/TBTN15/BHR389.DOC</v>
      </c>
      <c r="M388" s="2" t="str">
        <f>HYPERLINK("http://www.epingalert.org/#/details/G/TBT/N/BHR/389")</f>
        <v>http://www.epingalert.org/#/details/G/TBT/N/BHR/389</v>
      </c>
      <c r="N388" s="2"/>
      <c r="O388" s="2"/>
    </row>
    <row r="389" spans="1:15" ht="120" outlineLevel="1" x14ac:dyDescent="0.25">
      <c r="A389" s="2" t="s">
        <v>180</v>
      </c>
      <c r="B389" s="4" t="s">
        <v>722</v>
      </c>
      <c r="C389" s="2" t="s">
        <v>723</v>
      </c>
      <c r="D389" s="2" t="s">
        <v>724</v>
      </c>
      <c r="E389" s="3">
        <v>42122</v>
      </c>
      <c r="F389" s="2" t="s">
        <v>725</v>
      </c>
      <c r="G389" s="2"/>
      <c r="H389" s="2" t="s">
        <v>198</v>
      </c>
      <c r="I389" s="3">
        <v>42182</v>
      </c>
      <c r="J389" s="2" t="str">
        <f>HYPERLINK("https://docs.wto.org/imrd/directdoc.asp?DDFDocuments/t/G/TBTN15/KWT269.DOC")</f>
        <v>https://docs.wto.org/imrd/directdoc.asp?DDFDocuments/t/G/TBTN15/KWT269.DOC</v>
      </c>
      <c r="K389" s="2" t="str">
        <f>HYPERLINK("https://docs.wto.org/imrd/directdoc.asp?DDFDocuments/u/G/TBTN15/KWT269.DOC")</f>
        <v>https://docs.wto.org/imrd/directdoc.asp?DDFDocuments/u/G/TBTN15/KWT269.DOC</v>
      </c>
      <c r="L389" s="2" t="str">
        <f>HYPERLINK("https://docs.wto.org/imrd/directdoc.asp?DDFDocuments/v/G/TBTN15/KWT269.DOC")</f>
        <v>https://docs.wto.org/imrd/directdoc.asp?DDFDocuments/v/G/TBTN15/KWT269.DOC</v>
      </c>
      <c r="M389" s="2" t="str">
        <f>HYPERLINK("http://www.epingalert.org/#/details/G/TBT/N/KWT/269")</f>
        <v>http://www.epingalert.org/#/details/G/TBT/N/KWT/269</v>
      </c>
      <c r="N389" s="2"/>
      <c r="O389" s="2"/>
    </row>
    <row r="390" spans="1:15" ht="90" outlineLevel="1" x14ac:dyDescent="0.25">
      <c r="A390" s="2" t="s">
        <v>178</v>
      </c>
      <c r="B390" s="4" t="s">
        <v>726</v>
      </c>
      <c r="C390" s="2" t="s">
        <v>727</v>
      </c>
      <c r="D390" s="2" t="s">
        <v>724</v>
      </c>
      <c r="E390" s="3">
        <v>42118</v>
      </c>
      <c r="F390" s="2" t="s">
        <v>728</v>
      </c>
      <c r="G390" s="2"/>
      <c r="H390" s="2" t="s">
        <v>17</v>
      </c>
      <c r="I390" s="3">
        <v>42178</v>
      </c>
      <c r="J390" s="2" t="str">
        <f>HYPERLINK("https://docs.wto.org/imrd/directdoc.asp?DDFDocuments/t/G/TBTN15/QAT385.DOC")</f>
        <v>https://docs.wto.org/imrd/directdoc.asp?DDFDocuments/t/G/TBTN15/QAT385.DOC</v>
      </c>
      <c r="K390" s="2" t="str">
        <f>HYPERLINK("https://docs.wto.org/imrd/directdoc.asp?DDFDocuments/u/G/TBTN15/QAT385.DOC")</f>
        <v>https://docs.wto.org/imrd/directdoc.asp?DDFDocuments/u/G/TBTN15/QAT385.DOC</v>
      </c>
      <c r="L390" s="2" t="str">
        <f>HYPERLINK("https://docs.wto.org/imrd/directdoc.asp?DDFDocuments/v/G/TBTN15/QAT385.DOC")</f>
        <v>https://docs.wto.org/imrd/directdoc.asp?DDFDocuments/v/G/TBTN15/QAT385.DOC</v>
      </c>
      <c r="M390" s="2" t="str">
        <f>HYPERLINK("http://www.epingalert.org/#/details/G/TBT/N/QAT/385")</f>
        <v>http://www.epingalert.org/#/details/G/TBT/N/QAT/385</v>
      </c>
      <c r="N390" s="2"/>
      <c r="O390" s="2"/>
    </row>
    <row r="391" spans="1:15" ht="90" outlineLevel="1" x14ac:dyDescent="0.25">
      <c r="A391" s="2" t="s">
        <v>173</v>
      </c>
      <c r="B391" s="4" t="s">
        <v>729</v>
      </c>
      <c r="C391" s="2" t="s">
        <v>730</v>
      </c>
      <c r="D391" s="2" t="s">
        <v>731</v>
      </c>
      <c r="E391" s="3">
        <v>42109</v>
      </c>
      <c r="F391" s="2" t="s">
        <v>725</v>
      </c>
      <c r="G391" s="2"/>
      <c r="H391" s="2" t="s">
        <v>17</v>
      </c>
      <c r="I391" s="3">
        <v>42169</v>
      </c>
      <c r="J391" s="2" t="str">
        <f>HYPERLINK("https://docs.wto.org/imrd/directdoc.asp?DDFDocuments/t/G/TBTN15/SAU846.DOC")</f>
        <v>https://docs.wto.org/imrd/directdoc.asp?DDFDocuments/t/G/TBTN15/SAU846.DOC</v>
      </c>
      <c r="K391" s="2" t="str">
        <f>HYPERLINK("https://docs.wto.org/imrd/directdoc.asp?DDFDocuments/u/G/TBTN15/SAU846.DOC")</f>
        <v>https://docs.wto.org/imrd/directdoc.asp?DDFDocuments/u/G/TBTN15/SAU846.DOC</v>
      </c>
      <c r="L391" s="2" t="str">
        <f>HYPERLINK("https://docs.wto.org/imrd/directdoc.asp?DDFDocuments/v/G/TBTN15/SAU846.DOC")</f>
        <v>https://docs.wto.org/imrd/directdoc.asp?DDFDocuments/v/G/TBTN15/SAU846.DOC</v>
      </c>
      <c r="M391" s="2" t="str">
        <f>HYPERLINK("http://www.epingalert.org/#/details/G/TBT/N/SAU/846")</f>
        <v>http://www.epingalert.org/#/details/G/TBT/N/SAU/846</v>
      </c>
      <c r="N391" s="2"/>
      <c r="O391" s="2"/>
    </row>
    <row r="392" spans="1:15" ht="90" outlineLevel="1" x14ac:dyDescent="0.25">
      <c r="A392" s="2" t="s">
        <v>181</v>
      </c>
      <c r="B392" s="4" t="s">
        <v>732</v>
      </c>
      <c r="C392" s="2" t="s">
        <v>733</v>
      </c>
      <c r="D392" s="2" t="s">
        <v>734</v>
      </c>
      <c r="E392" s="3">
        <v>42102</v>
      </c>
      <c r="F392" s="2" t="s">
        <v>735</v>
      </c>
      <c r="G392" s="2"/>
      <c r="H392" s="2" t="s">
        <v>30</v>
      </c>
      <c r="I392" s="3">
        <v>42162</v>
      </c>
      <c r="J392" s="2" t="str">
        <f>HYPERLINK("https://docs.wto.org/imrd/directdoc.asp?DDFDocuments/t/G/TBTN15/BHR383.DOC")</f>
        <v>https://docs.wto.org/imrd/directdoc.asp?DDFDocuments/t/G/TBTN15/BHR383.DOC</v>
      </c>
      <c r="K392" s="2" t="str">
        <f>HYPERLINK("https://docs.wto.org/imrd/directdoc.asp?DDFDocuments/u/G/TBTN15/BHR383.DOC")</f>
        <v>https://docs.wto.org/imrd/directdoc.asp?DDFDocuments/u/G/TBTN15/BHR383.DOC</v>
      </c>
      <c r="L392" s="2" t="str">
        <f>HYPERLINK("https://docs.wto.org/imrd/directdoc.asp?DDFDocuments/v/G/TBTN15/BHR383.DOC")</f>
        <v>https://docs.wto.org/imrd/directdoc.asp?DDFDocuments/v/G/TBTN15/BHR383.DOC</v>
      </c>
      <c r="M392" s="2" t="str">
        <f>HYPERLINK("http://www.epingalert.org/#/details/G/TBT/N/BHR/383")</f>
        <v>http://www.epingalert.org/#/details/G/TBT/N/BHR/383</v>
      </c>
      <c r="N392" s="2"/>
      <c r="O392" s="2"/>
    </row>
    <row r="393" spans="1:15" ht="409.5" outlineLevel="1" x14ac:dyDescent="0.25">
      <c r="A393" s="2" t="s">
        <v>181</v>
      </c>
      <c r="B393" s="4" t="s">
        <v>736</v>
      </c>
      <c r="C393" s="2" t="s">
        <v>737</v>
      </c>
      <c r="D393" s="2" t="s">
        <v>738</v>
      </c>
      <c r="E393" s="3">
        <v>42102</v>
      </c>
      <c r="F393" s="2" t="s">
        <v>739</v>
      </c>
      <c r="G393" s="2"/>
      <c r="H393" s="2" t="s">
        <v>17</v>
      </c>
      <c r="I393" s="3">
        <v>42162</v>
      </c>
      <c r="J393" s="2" t="str">
        <f>HYPERLINK("https://docs.wto.org/imrd/directdoc.asp?DDFDocuments/t/G/TBTN15/BHR381.DOC")</f>
        <v>https://docs.wto.org/imrd/directdoc.asp?DDFDocuments/t/G/TBTN15/BHR381.DOC</v>
      </c>
      <c r="K393" s="2" t="str">
        <f>HYPERLINK("https://docs.wto.org/imrd/directdoc.asp?DDFDocuments/u/G/TBTN15/BHR381.DOC")</f>
        <v>https://docs.wto.org/imrd/directdoc.asp?DDFDocuments/u/G/TBTN15/BHR381.DOC</v>
      </c>
      <c r="L393" s="2" t="str">
        <f>HYPERLINK("https://docs.wto.org/imrd/directdoc.asp?DDFDocuments/v/G/TBTN15/BHR381.DOC")</f>
        <v>https://docs.wto.org/imrd/directdoc.asp?DDFDocuments/v/G/TBTN15/BHR381.DOC</v>
      </c>
      <c r="M393" s="2" t="str">
        <f>HYPERLINK("http://www.epingalert.org/#/details/G/TBT/N/BHR/381")</f>
        <v>http://www.epingalert.org/#/details/G/TBT/N/BHR/381</v>
      </c>
      <c r="N393" s="2"/>
      <c r="O393" s="2"/>
    </row>
    <row r="394" spans="1:15" ht="75" outlineLevel="1" x14ac:dyDescent="0.25">
      <c r="A394" s="2" t="s">
        <v>173</v>
      </c>
      <c r="B394" s="4" t="s">
        <v>740</v>
      </c>
      <c r="C394" s="2" t="s">
        <v>741</v>
      </c>
      <c r="D394" s="2" t="s">
        <v>742</v>
      </c>
      <c r="E394" s="3">
        <v>42090</v>
      </c>
      <c r="F394" s="2" t="s">
        <v>743</v>
      </c>
      <c r="G394" s="2"/>
      <c r="H394" s="2" t="s">
        <v>17</v>
      </c>
      <c r="I394" s="3">
        <v>42150</v>
      </c>
      <c r="J394" s="2" t="str">
        <f>HYPERLINK("https://docs.wto.org/imrd/directdoc.asp?DDFDocuments/t/G/TBTN15/SAU841.DOC")</f>
        <v>https://docs.wto.org/imrd/directdoc.asp?DDFDocuments/t/G/TBTN15/SAU841.DOC</v>
      </c>
      <c r="K394" s="2" t="str">
        <f>HYPERLINK("https://docs.wto.org/imrd/directdoc.asp?DDFDocuments/u/G/TBTN15/SAU841.DOC")</f>
        <v>https://docs.wto.org/imrd/directdoc.asp?DDFDocuments/u/G/TBTN15/SAU841.DOC</v>
      </c>
      <c r="L394" s="2" t="str">
        <f>HYPERLINK("https://docs.wto.org/imrd/directdoc.asp?DDFDocuments/v/G/TBTN15/SAU841.DOC")</f>
        <v>https://docs.wto.org/imrd/directdoc.asp?DDFDocuments/v/G/TBTN15/SAU841.DOC</v>
      </c>
      <c r="M394" s="2" t="str">
        <f>HYPERLINK("http://www.epingalert.org/#/details/G/TBT/N/SAU/841")</f>
        <v>http://www.epingalert.org/#/details/G/TBT/N/SAU/841</v>
      </c>
      <c r="N394" s="2"/>
      <c r="O394" s="2"/>
    </row>
    <row r="395" spans="1:15" ht="120" outlineLevel="1" x14ac:dyDescent="0.25">
      <c r="A395" s="2" t="s">
        <v>173</v>
      </c>
      <c r="B395" s="4" t="s">
        <v>744</v>
      </c>
      <c r="C395" s="2" t="s">
        <v>745</v>
      </c>
      <c r="D395" s="2" t="s">
        <v>746</v>
      </c>
      <c r="E395" s="3">
        <v>42090</v>
      </c>
      <c r="F395" s="2" t="s">
        <v>747</v>
      </c>
      <c r="G395" s="2"/>
      <c r="H395" s="2" t="s">
        <v>17</v>
      </c>
      <c r="I395" s="3">
        <v>42150</v>
      </c>
      <c r="J395" s="2" t="str">
        <f>HYPERLINK("https://docs.wto.org/imrd/directdoc.asp?DDFDocuments/t/G/TBTN15/SAU840.DOC")</f>
        <v>https://docs.wto.org/imrd/directdoc.asp?DDFDocuments/t/G/TBTN15/SAU840.DOC</v>
      </c>
      <c r="K395" s="2" t="str">
        <f>HYPERLINK("https://docs.wto.org/imrd/directdoc.asp?DDFDocuments/u/G/TBTN15/SAU840.DOC")</f>
        <v>https://docs.wto.org/imrd/directdoc.asp?DDFDocuments/u/G/TBTN15/SAU840.DOC</v>
      </c>
      <c r="L395" s="2" t="str">
        <f>HYPERLINK("https://docs.wto.org/imrd/directdoc.asp?DDFDocuments/v/G/TBTN15/SAU840.DOC")</f>
        <v>https://docs.wto.org/imrd/directdoc.asp?DDFDocuments/v/G/TBTN15/SAU840.DOC</v>
      </c>
      <c r="M395" s="2" t="str">
        <f>HYPERLINK("http://www.epingalert.org/#/details/G/TBT/N/SAU/840")</f>
        <v>http://www.epingalert.org/#/details/G/TBT/N/SAU/840</v>
      </c>
      <c r="N395" s="2"/>
      <c r="O395" s="2"/>
    </row>
    <row r="396" spans="1:15" ht="120" outlineLevel="1" x14ac:dyDescent="0.25">
      <c r="A396" s="2" t="s">
        <v>312</v>
      </c>
      <c r="B396" s="4" t="s">
        <v>1761</v>
      </c>
      <c r="C396" s="2" t="s">
        <v>1762</v>
      </c>
      <c r="D396" s="2" t="s">
        <v>1763</v>
      </c>
      <c r="E396" s="3">
        <v>42081</v>
      </c>
      <c r="F396" s="2"/>
      <c r="G396" s="2" t="s">
        <v>1660</v>
      </c>
      <c r="H396" s="2" t="s">
        <v>198</v>
      </c>
      <c r="I396" s="3">
        <v>42141</v>
      </c>
      <c r="J396" s="2" t="str">
        <f>HYPERLINK("https://docs.wto.org/imrd/directdoc.asp?DDFDocuments/t/G/TBTN15/UGA469.DOC")</f>
        <v>https://docs.wto.org/imrd/directdoc.asp?DDFDocuments/t/G/TBTN15/UGA469.DOC</v>
      </c>
      <c r="K396" s="2" t="str">
        <f>HYPERLINK("https://docs.wto.org/imrd/directdoc.asp?DDFDocuments/u/G/TBTN15/UGA469.DOC")</f>
        <v>https://docs.wto.org/imrd/directdoc.asp?DDFDocuments/u/G/TBTN15/UGA469.DOC</v>
      </c>
      <c r="L396" s="2" t="str">
        <f>HYPERLINK("https://docs.wto.org/imrd/directdoc.asp?DDFDocuments/v/G/TBTN15/UGA469.DOC")</f>
        <v>https://docs.wto.org/imrd/directdoc.asp?DDFDocuments/v/G/TBTN15/UGA469.DOC</v>
      </c>
      <c r="M396" s="2" t="str">
        <f>HYPERLINK("http://www.epingalert.org/#/details/G/TBT/N/UGA/469")</f>
        <v>http://www.epingalert.org/#/details/G/TBT/N/UGA/469</v>
      </c>
      <c r="N396" s="2"/>
      <c r="O396" s="2"/>
    </row>
    <row r="397" spans="1:15" ht="345" outlineLevel="1" x14ac:dyDescent="0.25">
      <c r="A397" s="2" t="s">
        <v>77</v>
      </c>
      <c r="B397" s="4" t="s">
        <v>748</v>
      </c>
      <c r="C397" s="2" t="s">
        <v>749</v>
      </c>
      <c r="D397" s="2" t="s">
        <v>750</v>
      </c>
      <c r="E397" s="3">
        <v>42080</v>
      </c>
      <c r="F397" s="2" t="s">
        <v>751</v>
      </c>
      <c r="G397" s="2"/>
      <c r="H397" s="2" t="s">
        <v>82</v>
      </c>
      <c r="I397" s="3">
        <v>42140</v>
      </c>
      <c r="J397" s="2" t="str">
        <f>HYPERLINK("https://docs.wto.org/imrd/directdoc.asp?DDFDocuments/t/G/TBTN14/TPKM168R1.DOC")</f>
        <v>https://docs.wto.org/imrd/directdoc.asp?DDFDocuments/t/G/TBTN14/TPKM168R1.DOC</v>
      </c>
      <c r="K397" s="2" t="str">
        <f>HYPERLINK("https://docs.wto.org/imrd/directdoc.asp?DDFDocuments/u/G/TBTN14/TPKM168R1.DOC")</f>
        <v>https://docs.wto.org/imrd/directdoc.asp?DDFDocuments/u/G/TBTN14/TPKM168R1.DOC</v>
      </c>
      <c r="L397" s="2" t="str">
        <f>HYPERLINK("https://docs.wto.org/imrd/directdoc.asp?DDFDocuments/v/G/TBTN14/TPKM168R1.DOC")</f>
        <v>https://docs.wto.org/imrd/directdoc.asp?DDFDocuments/v/G/TBTN14/TPKM168R1.DOC</v>
      </c>
      <c r="M397" s="2" t="str">
        <f>HYPERLINK("http://www.epingalert.org/#/details/G/TBT/N/TPKM/168/Rev.1")</f>
        <v>http://www.epingalert.org/#/details/G/TBT/N/TPKM/168/Rev.1</v>
      </c>
      <c r="N397" s="2"/>
      <c r="O397" s="2"/>
    </row>
    <row r="398" spans="1:15" ht="120" outlineLevel="1" x14ac:dyDescent="0.25">
      <c r="A398" s="2" t="s">
        <v>12</v>
      </c>
      <c r="B398" s="4" t="s">
        <v>752</v>
      </c>
      <c r="C398" s="2" t="s">
        <v>753</v>
      </c>
      <c r="D398" s="2" t="s">
        <v>754</v>
      </c>
      <c r="E398" s="3">
        <v>42075</v>
      </c>
      <c r="F398" s="2" t="s">
        <v>86</v>
      </c>
      <c r="G398" s="2"/>
      <c r="H398" s="2" t="s">
        <v>17</v>
      </c>
      <c r="I398" s="3">
        <v>42135</v>
      </c>
      <c r="J398" s="2" t="str">
        <f>HYPERLINK("https://docs.wto.org/imrd/directdoc.asp?DDFDocuments/t/G/TBTN15/EU269.DOC")</f>
        <v>https://docs.wto.org/imrd/directdoc.asp?DDFDocuments/t/G/TBTN15/EU269.DOC</v>
      </c>
      <c r="K398" s="2" t="str">
        <f>HYPERLINK("https://docs.wto.org/imrd/directdoc.asp?DDFDocuments/u/G/TBTN15/EU269.DOC")</f>
        <v>https://docs.wto.org/imrd/directdoc.asp?DDFDocuments/u/G/TBTN15/EU269.DOC</v>
      </c>
      <c r="L398" s="2" t="str">
        <f>HYPERLINK("https://docs.wto.org/imrd/directdoc.asp?DDFDocuments/v/G/TBTN15/EU269.DOC")</f>
        <v>https://docs.wto.org/imrd/directdoc.asp?DDFDocuments/v/G/TBTN15/EU269.DOC</v>
      </c>
      <c r="M398" s="2" t="str">
        <f>HYPERLINK("http://www.epingalert.org/#/details/G/TBT/N/EU/269")</f>
        <v>http://www.epingalert.org/#/details/G/TBT/N/EU/269</v>
      </c>
      <c r="N398" s="2"/>
      <c r="O398" s="2"/>
    </row>
    <row r="399" spans="1:15" ht="135" outlineLevel="1" x14ac:dyDescent="0.25">
      <c r="A399" s="2" t="s">
        <v>12</v>
      </c>
      <c r="B399" s="4" t="s">
        <v>755</v>
      </c>
      <c r="C399" s="2" t="s">
        <v>756</v>
      </c>
      <c r="D399" s="2" t="s">
        <v>757</v>
      </c>
      <c r="E399" s="3">
        <v>42075</v>
      </c>
      <c r="F399" s="2" t="s">
        <v>86</v>
      </c>
      <c r="G399" s="2"/>
      <c r="H399" s="2" t="s">
        <v>17</v>
      </c>
      <c r="I399" s="3">
        <v>42135</v>
      </c>
      <c r="J399" s="2" t="str">
        <f>HYPERLINK("https://docs.wto.org/imrd/directdoc.asp?DDFDocuments/t/G/TBTN15/EU268.DOC")</f>
        <v>https://docs.wto.org/imrd/directdoc.asp?DDFDocuments/t/G/TBTN15/EU268.DOC</v>
      </c>
      <c r="K399" s="2" t="str">
        <f>HYPERLINK("https://docs.wto.org/imrd/directdoc.asp?DDFDocuments/u/G/TBTN15/EU268.DOC")</f>
        <v>https://docs.wto.org/imrd/directdoc.asp?DDFDocuments/u/G/TBTN15/EU268.DOC</v>
      </c>
      <c r="L399" s="2" t="str">
        <f>HYPERLINK("https://docs.wto.org/imrd/directdoc.asp?DDFDocuments/v/G/TBTN15/EU268.DOC")</f>
        <v>https://docs.wto.org/imrd/directdoc.asp?DDFDocuments/v/G/TBTN15/EU268.DOC</v>
      </c>
      <c r="M399" s="2" t="str">
        <f>HYPERLINK("http://www.epingalert.org/#/details/G/TBT/N/EU/268")</f>
        <v>http://www.epingalert.org/#/details/G/TBT/N/EU/268</v>
      </c>
      <c r="N399" s="2"/>
      <c r="O399" s="2"/>
    </row>
    <row r="400" spans="1:15" ht="150" outlineLevel="1" x14ac:dyDescent="0.25">
      <c r="A400" s="2" t="s">
        <v>180</v>
      </c>
      <c r="B400" s="4" t="s">
        <v>758</v>
      </c>
      <c r="C400" s="2" t="s">
        <v>759</v>
      </c>
      <c r="D400" s="2" t="s">
        <v>760</v>
      </c>
      <c r="E400" s="3">
        <v>42074</v>
      </c>
      <c r="F400" s="2" t="s">
        <v>761</v>
      </c>
      <c r="G400" s="2"/>
      <c r="H400" s="2" t="s">
        <v>198</v>
      </c>
      <c r="I400" s="3">
        <v>42134</v>
      </c>
      <c r="J400" s="2" t="str">
        <f>HYPERLINK("https://docs.wto.org/imrd/directdoc.asp?DDFDocuments/t/G/TBTN15/KWT268.DOC")</f>
        <v>https://docs.wto.org/imrd/directdoc.asp?DDFDocuments/t/G/TBTN15/KWT268.DOC</v>
      </c>
      <c r="K400" s="2" t="str">
        <f>HYPERLINK("https://docs.wto.org/imrd/directdoc.asp?DDFDocuments/u/G/TBTN15/KWT268.DOC")</f>
        <v>https://docs.wto.org/imrd/directdoc.asp?DDFDocuments/u/G/TBTN15/KWT268.DOC</v>
      </c>
      <c r="L400" s="2" t="str">
        <f>HYPERLINK("https://docs.wto.org/imrd/directdoc.asp?DDFDocuments/v/G/TBTN15/KWT268.DOC")</f>
        <v>https://docs.wto.org/imrd/directdoc.asp?DDFDocuments/v/G/TBTN15/KWT268.DOC</v>
      </c>
      <c r="M400" s="2" t="str">
        <f>HYPERLINK("http://www.epingalert.org/#/details/G/TBT/N/KWT/268")</f>
        <v>http://www.epingalert.org/#/details/G/TBT/N/KWT/268</v>
      </c>
      <c r="N400" s="2"/>
      <c r="O400" s="2"/>
    </row>
    <row r="401" spans="1:15" ht="105" outlineLevel="1" x14ac:dyDescent="0.25">
      <c r="A401" s="2" t="s">
        <v>37</v>
      </c>
      <c r="B401" s="4" t="s">
        <v>2207</v>
      </c>
      <c r="C401" s="2" t="s">
        <v>2208</v>
      </c>
      <c r="D401" s="2" t="s">
        <v>2209</v>
      </c>
      <c r="E401" s="3">
        <v>42072</v>
      </c>
      <c r="F401" s="2" t="s">
        <v>2210</v>
      </c>
      <c r="G401" s="2" t="s">
        <v>1972</v>
      </c>
      <c r="H401" s="2" t="s">
        <v>127</v>
      </c>
      <c r="I401" s="3">
        <v>42132</v>
      </c>
      <c r="J401" s="2" t="str">
        <f>HYPERLINK("https://docs.wto.org/imrd/directdoc.asp?DDFDocuments/t/G/TBTN15/TUR61.DOC")</f>
        <v>https://docs.wto.org/imrd/directdoc.asp?DDFDocuments/t/G/TBTN15/TUR61.DOC</v>
      </c>
      <c r="K401" s="2" t="str">
        <f>HYPERLINK("https://docs.wto.org/imrd/directdoc.asp?DDFDocuments/u/G/TBTN15/TUR61.DOC")</f>
        <v>https://docs.wto.org/imrd/directdoc.asp?DDFDocuments/u/G/TBTN15/TUR61.DOC</v>
      </c>
      <c r="L401" s="2" t="str">
        <f>HYPERLINK("https://docs.wto.org/imrd/directdoc.asp?DDFDocuments/v/G/TBTN15/TUR61.DOC")</f>
        <v>https://docs.wto.org/imrd/directdoc.asp?DDFDocuments/v/G/TBTN15/TUR61.DOC</v>
      </c>
      <c r="M401" s="2" t="str">
        <f>HYPERLINK("http://www.epingalert.org/#/details/G/TBT/N/TUR/61")</f>
        <v>http://www.epingalert.org/#/details/G/TBT/N/TUR/61</v>
      </c>
      <c r="N401" s="2"/>
      <c r="O401" s="2"/>
    </row>
    <row r="402" spans="1:15" ht="105" outlineLevel="1" x14ac:dyDescent="0.25">
      <c r="A402" s="2" t="s">
        <v>37</v>
      </c>
      <c r="B402" s="4" t="s">
        <v>2211</v>
      </c>
      <c r="C402" s="2" t="s">
        <v>2212</v>
      </c>
      <c r="D402" s="2" t="s">
        <v>2213</v>
      </c>
      <c r="E402" s="3">
        <v>42072</v>
      </c>
      <c r="F402" s="2" t="s">
        <v>2214</v>
      </c>
      <c r="G402" s="2" t="s">
        <v>2215</v>
      </c>
      <c r="H402" s="2" t="s">
        <v>127</v>
      </c>
      <c r="I402" s="3">
        <v>42132</v>
      </c>
      <c r="J402" s="2" t="str">
        <f>HYPERLINK("https://docs.wto.org/imrd/directdoc.asp?DDFDocuments/t/G/TBTN15/TUR60.DOC")</f>
        <v>https://docs.wto.org/imrd/directdoc.asp?DDFDocuments/t/G/TBTN15/TUR60.DOC</v>
      </c>
      <c r="K402" s="2" t="str">
        <f>HYPERLINK("https://docs.wto.org/imrd/directdoc.asp?DDFDocuments/u/G/TBTN15/TUR60.DOC")</f>
        <v>https://docs.wto.org/imrd/directdoc.asp?DDFDocuments/u/G/TBTN15/TUR60.DOC</v>
      </c>
      <c r="L402" s="2" t="str">
        <f>HYPERLINK("https://docs.wto.org/imrd/directdoc.asp?DDFDocuments/v/G/TBTN15/TUR60.DOC")</f>
        <v>https://docs.wto.org/imrd/directdoc.asp?DDFDocuments/v/G/TBTN15/TUR60.DOC</v>
      </c>
      <c r="M402" s="2" t="str">
        <f>HYPERLINK("http://www.epingalert.org/#/details/G/TBT/N/TUR/60")</f>
        <v>http://www.epingalert.org/#/details/G/TBT/N/TUR/60</v>
      </c>
      <c r="N402" s="2"/>
      <c r="O402" s="2"/>
    </row>
    <row r="403" spans="1:15" ht="90" outlineLevel="1" x14ac:dyDescent="0.25">
      <c r="A403" s="2" t="s">
        <v>184</v>
      </c>
      <c r="B403" s="4" t="s">
        <v>762</v>
      </c>
      <c r="C403" s="2" t="s">
        <v>763</v>
      </c>
      <c r="D403" s="2" t="s">
        <v>764</v>
      </c>
      <c r="E403" s="3">
        <v>42067</v>
      </c>
      <c r="F403" s="2"/>
      <c r="G403" s="2" t="s">
        <v>23</v>
      </c>
      <c r="H403" s="2" t="s">
        <v>127</v>
      </c>
      <c r="I403" s="3">
        <v>42127</v>
      </c>
      <c r="J403" s="2" t="str">
        <f>HYPERLINK("https://docs.wto.org/imrd/directdoc.asp?DDFDocuments/t/G/TBTN15/ARE255.DOC")</f>
        <v>https://docs.wto.org/imrd/directdoc.asp?DDFDocuments/t/G/TBTN15/ARE255.DOC</v>
      </c>
      <c r="K403" s="2" t="str">
        <f>HYPERLINK("https://docs.wto.org/imrd/directdoc.asp?DDFDocuments/u/G/TBTN15/ARE255.DOC")</f>
        <v>https://docs.wto.org/imrd/directdoc.asp?DDFDocuments/u/G/TBTN15/ARE255.DOC</v>
      </c>
      <c r="L403" s="2" t="str">
        <f>HYPERLINK("https://docs.wto.org/imrd/directdoc.asp?DDFDocuments/v/G/TBTN15/ARE255.DOC")</f>
        <v>https://docs.wto.org/imrd/directdoc.asp?DDFDocuments/v/G/TBTN15/ARE255.DOC</v>
      </c>
      <c r="M403" s="2" t="str">
        <f>HYPERLINK("http://www.epingalert.org/#/details/G/TBT/N/ARE/255")</f>
        <v>http://www.epingalert.org/#/details/G/TBT/N/ARE/255</v>
      </c>
      <c r="N403" s="2"/>
      <c r="O403" s="2"/>
    </row>
    <row r="404" spans="1:15" ht="120" outlineLevel="1" x14ac:dyDescent="0.25">
      <c r="A404" s="2" t="s">
        <v>184</v>
      </c>
      <c r="B404" s="4" t="s">
        <v>765</v>
      </c>
      <c r="C404" s="2" t="s">
        <v>766</v>
      </c>
      <c r="D404" s="2" t="s">
        <v>767</v>
      </c>
      <c r="E404" s="3">
        <v>42067</v>
      </c>
      <c r="F404" s="2"/>
      <c r="G404" s="2" t="s">
        <v>23</v>
      </c>
      <c r="H404" s="2" t="s">
        <v>198</v>
      </c>
      <c r="I404" s="3">
        <v>42127</v>
      </c>
      <c r="J404" s="2" t="str">
        <f>HYPERLINK("https://docs.wto.org/imrd/directdoc.asp?DDFDocuments/t/G/TBTN15/ARE256.DOC")</f>
        <v>https://docs.wto.org/imrd/directdoc.asp?DDFDocuments/t/G/TBTN15/ARE256.DOC</v>
      </c>
      <c r="K404" s="2" t="str">
        <f>HYPERLINK("https://docs.wto.org/imrd/directdoc.asp?DDFDocuments/u/G/TBTN15/ARE256.DOC")</f>
        <v>https://docs.wto.org/imrd/directdoc.asp?DDFDocuments/u/G/TBTN15/ARE256.DOC</v>
      </c>
      <c r="L404" s="2" t="str">
        <f>HYPERLINK("https://docs.wto.org/imrd/directdoc.asp?DDFDocuments/v/G/TBTN15/ARE256.DOC")</f>
        <v>https://docs.wto.org/imrd/directdoc.asp?DDFDocuments/v/G/TBTN15/ARE256.DOC</v>
      </c>
      <c r="M404" s="2" t="str">
        <f>HYPERLINK("http://www.epingalert.org/#/details/G/TBT/N/ARE/256")</f>
        <v>http://www.epingalert.org/#/details/G/TBT/N/ARE/256</v>
      </c>
      <c r="N404" s="2"/>
      <c r="O404" s="2"/>
    </row>
    <row r="405" spans="1:15" ht="90" outlineLevel="1" x14ac:dyDescent="0.25">
      <c r="A405" s="2" t="s">
        <v>25</v>
      </c>
      <c r="B405" s="4" t="s">
        <v>768</v>
      </c>
      <c r="C405" s="2" t="s">
        <v>769</v>
      </c>
      <c r="D405" s="2" t="s">
        <v>770</v>
      </c>
      <c r="E405" s="3">
        <v>42055</v>
      </c>
      <c r="F405" s="2" t="s">
        <v>119</v>
      </c>
      <c r="G405" s="2"/>
      <c r="H405" s="2"/>
      <c r="I405" s="3">
        <v>42115</v>
      </c>
      <c r="J405" s="2" t="str">
        <f>HYPERLINK("https://docs.wto.org/imrd/directdoc.asp?DDFDocuments/t/G/TBTN15/KOR561.DOC")</f>
        <v>https://docs.wto.org/imrd/directdoc.asp?DDFDocuments/t/G/TBTN15/KOR561.DOC</v>
      </c>
      <c r="K405" s="2" t="str">
        <f>HYPERLINK("https://docs.wto.org/imrd/directdoc.asp?DDFDocuments/u/G/TBTN15/KOR561.DOC")</f>
        <v>https://docs.wto.org/imrd/directdoc.asp?DDFDocuments/u/G/TBTN15/KOR561.DOC</v>
      </c>
      <c r="L405" s="2" t="str">
        <f>HYPERLINK("https://docs.wto.org/imrd/directdoc.asp?DDFDocuments/v/G/TBTN15/KOR561.DOC")</f>
        <v>https://docs.wto.org/imrd/directdoc.asp?DDFDocuments/v/G/TBTN15/KOR561.DOC</v>
      </c>
      <c r="M405" s="2" t="str">
        <f>HYPERLINK("http://www.epingalert.org/#/details/G/TBT/N/KOR/561")</f>
        <v>http://www.epingalert.org/#/details/G/TBT/N/KOR/561</v>
      </c>
      <c r="N405" s="2"/>
      <c r="O405" s="2"/>
    </row>
    <row r="406" spans="1:15" ht="409.5" outlineLevel="1" x14ac:dyDescent="0.25">
      <c r="A406" s="2" t="s">
        <v>1174</v>
      </c>
      <c r="B406" s="4" t="s">
        <v>1535</v>
      </c>
      <c r="C406" s="2" t="s">
        <v>1536</v>
      </c>
      <c r="D406" s="2" t="s">
        <v>1537</v>
      </c>
      <c r="E406" s="3">
        <v>42053</v>
      </c>
      <c r="F406" s="2" t="s">
        <v>1538</v>
      </c>
      <c r="G406" s="2"/>
      <c r="H406" s="2" t="s">
        <v>17</v>
      </c>
      <c r="I406" s="3">
        <v>42133</v>
      </c>
      <c r="J406" s="2" t="str">
        <f>HYPERLINK("https://docs.wto.org/imrd/directdoc.asp?DDFDocuments/t/G/TBTN15/DNK97.DOC")</f>
        <v>https://docs.wto.org/imrd/directdoc.asp?DDFDocuments/t/G/TBTN15/DNK97.DOC</v>
      </c>
      <c r="K406" s="2" t="str">
        <f>HYPERLINK("https://docs.wto.org/imrd/directdoc.asp?DDFDocuments/u/G/TBTN15/DNK97.DOC")</f>
        <v>https://docs.wto.org/imrd/directdoc.asp?DDFDocuments/u/G/TBTN15/DNK97.DOC</v>
      </c>
      <c r="L406" s="2" t="str">
        <f>HYPERLINK("https://docs.wto.org/imrd/directdoc.asp?DDFDocuments/v/G/TBTN15/DNK97.DOC")</f>
        <v>https://docs.wto.org/imrd/directdoc.asp?DDFDocuments/v/G/TBTN15/DNK97.DOC</v>
      </c>
      <c r="M406" s="2" t="str">
        <f>HYPERLINK("http://www.epingalert.org/#/details/G/TBT/N/DNK/97")</f>
        <v>http://www.epingalert.org/#/details/G/TBT/N/DNK/97</v>
      </c>
      <c r="N406" s="2"/>
      <c r="O406" s="2"/>
    </row>
    <row r="407" spans="1:15" ht="300" outlineLevel="1" x14ac:dyDescent="0.25">
      <c r="A407" s="2" t="s">
        <v>18</v>
      </c>
      <c r="B407" s="4" t="s">
        <v>1764</v>
      </c>
      <c r="C407" s="2" t="s">
        <v>1765</v>
      </c>
      <c r="D407" s="2" t="s">
        <v>1766</v>
      </c>
      <c r="E407" s="3">
        <v>42052</v>
      </c>
      <c r="F407" s="2" t="s">
        <v>1767</v>
      </c>
      <c r="G407" s="2" t="s">
        <v>1628</v>
      </c>
      <c r="H407" s="2" t="s">
        <v>24</v>
      </c>
      <c r="I407" s="3">
        <v>42104</v>
      </c>
      <c r="J407" s="2" t="str">
        <f>HYPERLINK("https://docs.wto.org/imrd/directdoc.asp?DDFDocuments/t/G/TBTN15/USA964.DOC")</f>
        <v>https://docs.wto.org/imrd/directdoc.asp?DDFDocuments/t/G/TBTN15/USA964.DOC</v>
      </c>
      <c r="K407" s="2" t="str">
        <f>HYPERLINK("https://docs.wto.org/imrd/directdoc.asp?DDFDocuments/u/G/TBTN15/USA964.DOC")</f>
        <v>https://docs.wto.org/imrd/directdoc.asp?DDFDocuments/u/G/TBTN15/USA964.DOC</v>
      </c>
      <c r="L407" s="2" t="str">
        <f>HYPERLINK("https://docs.wto.org/imrd/directdoc.asp?DDFDocuments/v/G/TBTN15/USA964.DOC")</f>
        <v>https://docs.wto.org/imrd/directdoc.asp?DDFDocuments/v/G/TBTN15/USA964.DOC</v>
      </c>
      <c r="M407" s="2" t="str">
        <f>HYPERLINK("http://www.epingalert.org/#/details/G/TBT/N/USA/964")</f>
        <v>http://www.epingalert.org/#/details/G/TBT/N/USA/964</v>
      </c>
      <c r="N407" s="2"/>
      <c r="O407" s="2"/>
    </row>
    <row r="408" spans="1:15" ht="120" outlineLevel="1" x14ac:dyDescent="0.25">
      <c r="A408" s="2" t="s">
        <v>312</v>
      </c>
      <c r="B408" s="4" t="s">
        <v>1768</v>
      </c>
      <c r="C408" s="2" t="s">
        <v>1769</v>
      </c>
      <c r="D408" s="2" t="s">
        <v>1770</v>
      </c>
      <c r="E408" s="3">
        <v>42045</v>
      </c>
      <c r="F408" s="2"/>
      <c r="G408" s="2" t="s">
        <v>1660</v>
      </c>
      <c r="H408" s="2" t="s">
        <v>198</v>
      </c>
      <c r="I408" s="3">
        <v>42105</v>
      </c>
      <c r="J408" s="2" t="str">
        <f>HYPERLINK("https://docs.wto.org/imrd/directdoc.asp?DDFDocuments/t/G/TBTN15/UGA456.DOC")</f>
        <v>https://docs.wto.org/imrd/directdoc.asp?DDFDocuments/t/G/TBTN15/UGA456.DOC</v>
      </c>
      <c r="K408" s="2" t="str">
        <f>HYPERLINK("https://docs.wto.org/imrd/directdoc.asp?DDFDocuments/u/G/TBTN15/UGA456.DOC")</f>
        <v>https://docs.wto.org/imrd/directdoc.asp?DDFDocuments/u/G/TBTN15/UGA456.DOC</v>
      </c>
      <c r="L408" s="2" t="str">
        <f>HYPERLINK("https://docs.wto.org/imrd/directdoc.asp?DDFDocuments/v/G/TBTN15/UGA456.DOC")</f>
        <v>https://docs.wto.org/imrd/directdoc.asp?DDFDocuments/v/G/TBTN15/UGA456.DOC</v>
      </c>
      <c r="M408" s="2" t="str">
        <f>HYPERLINK("http://www.epingalert.org/#/details/G/TBT/N/UGA/456")</f>
        <v>http://www.epingalert.org/#/details/G/TBT/N/UGA/456</v>
      </c>
      <c r="N408" s="2"/>
      <c r="O408" s="2"/>
    </row>
    <row r="409" spans="1:15" ht="120" outlineLevel="1" x14ac:dyDescent="0.25">
      <c r="A409" s="2" t="s">
        <v>42</v>
      </c>
      <c r="B409" s="4" t="s">
        <v>1771</v>
      </c>
      <c r="C409" s="2" t="s">
        <v>1772</v>
      </c>
      <c r="D409" s="2" t="s">
        <v>1773</v>
      </c>
      <c r="E409" s="3">
        <v>42044</v>
      </c>
      <c r="F409" s="2" t="s">
        <v>1774</v>
      </c>
      <c r="G409" s="2" t="s">
        <v>1775</v>
      </c>
      <c r="H409" s="2" t="s">
        <v>127</v>
      </c>
      <c r="I409" s="3">
        <v>42068</v>
      </c>
      <c r="J409" s="2" t="str">
        <f>HYPERLINK("https://docs.wto.org/imrd/directdoc.asp?DDFDocuments/t/G/TBTN15/BRA622.DOC")</f>
        <v>https://docs.wto.org/imrd/directdoc.asp?DDFDocuments/t/G/TBTN15/BRA622.DOC</v>
      </c>
      <c r="K409" s="2" t="str">
        <f>HYPERLINK("https://docs.wto.org/imrd/directdoc.asp?DDFDocuments/u/G/TBTN15/BRA622.DOC")</f>
        <v>https://docs.wto.org/imrd/directdoc.asp?DDFDocuments/u/G/TBTN15/BRA622.DOC</v>
      </c>
      <c r="L409" s="2" t="str">
        <f>HYPERLINK("https://docs.wto.org/imrd/directdoc.asp?DDFDocuments/v/G/TBTN15/BRA622.DOC")</f>
        <v>https://docs.wto.org/imrd/directdoc.asp?DDFDocuments/v/G/TBTN15/BRA622.DOC</v>
      </c>
      <c r="M409" s="2" t="str">
        <f>HYPERLINK("http://www.epingalert.org/#/details/G/TBT/N/BRA/622")</f>
        <v>http://www.epingalert.org/#/details/G/TBT/N/BRA/622</v>
      </c>
      <c r="N409" s="2"/>
      <c r="O409" s="2"/>
    </row>
    <row r="410" spans="1:15" ht="409.5" outlineLevel="1" x14ac:dyDescent="0.25">
      <c r="A410" s="2" t="s">
        <v>771</v>
      </c>
      <c r="B410" s="4" t="s">
        <v>772</v>
      </c>
      <c r="C410" s="2" t="s">
        <v>773</v>
      </c>
      <c r="D410" s="2" t="s">
        <v>774</v>
      </c>
      <c r="E410" s="3">
        <v>42033</v>
      </c>
      <c r="F410" s="2" t="s">
        <v>775</v>
      </c>
      <c r="G410" s="2"/>
      <c r="H410" s="2" t="s">
        <v>17</v>
      </c>
      <c r="I410" s="3">
        <v>42111</v>
      </c>
      <c r="J410" s="2" t="str">
        <f>HYPERLINK("https://docs.wto.org/imrd/directdoc.asp?DDFDocuments/t/G/TBTN15/HKG47.DOC")</f>
        <v>https://docs.wto.org/imrd/directdoc.asp?DDFDocuments/t/G/TBTN15/HKG47.DOC</v>
      </c>
      <c r="K410" s="2" t="str">
        <f>HYPERLINK("https://docs.wto.org/imrd/directdoc.asp?DDFDocuments/u/G/TBTN15/HKG47.DOC")</f>
        <v>https://docs.wto.org/imrd/directdoc.asp?DDFDocuments/u/G/TBTN15/HKG47.DOC</v>
      </c>
      <c r="L410" s="2" t="str">
        <f>HYPERLINK("https://docs.wto.org/imrd/directdoc.asp?DDFDocuments/v/G/TBTN15/HKG47.DOC")</f>
        <v>https://docs.wto.org/imrd/directdoc.asp?DDFDocuments/v/G/TBTN15/HKG47.DOC</v>
      </c>
      <c r="M410" s="2" t="str">
        <f>HYPERLINK("http://www.epingalert.org/#/details/G/TBT/N/HKG/47")</f>
        <v>http://www.epingalert.org/#/details/G/TBT/N/HKG/47</v>
      </c>
      <c r="N410" s="2"/>
      <c r="O410" s="2"/>
    </row>
    <row r="411" spans="1:15" ht="409.5" outlineLevel="1" x14ac:dyDescent="0.25">
      <c r="A411" s="2" t="s">
        <v>776</v>
      </c>
      <c r="B411" s="4" t="s">
        <v>772</v>
      </c>
      <c r="C411" s="2" t="s">
        <v>773</v>
      </c>
      <c r="D411" s="2" t="s">
        <v>774</v>
      </c>
      <c r="E411" s="3">
        <v>42033</v>
      </c>
      <c r="F411" s="2" t="s">
        <v>775</v>
      </c>
      <c r="G411" s="2"/>
      <c r="H411" s="2" t="s">
        <v>17</v>
      </c>
      <c r="I411" s="3">
        <v>42111</v>
      </c>
      <c r="J411" s="2" t="str">
        <f>HYPERLINK("https://docs.wto.org/imrd/directdoc.asp?DDFDocuments/t/G/TBTN15/HKG47.DOC")</f>
        <v>https://docs.wto.org/imrd/directdoc.asp?DDFDocuments/t/G/TBTN15/HKG47.DOC</v>
      </c>
      <c r="K411" s="2" t="str">
        <f>HYPERLINK("https://docs.wto.org/imrd/directdoc.asp?DDFDocuments/u/G/TBTN15/HKG47.DOC")</f>
        <v>https://docs.wto.org/imrd/directdoc.asp?DDFDocuments/u/G/TBTN15/HKG47.DOC</v>
      </c>
      <c r="L411" s="2" t="str">
        <f>HYPERLINK("https://docs.wto.org/imrd/directdoc.asp?DDFDocuments/v/G/TBTN15/HKG47.DOC")</f>
        <v>https://docs.wto.org/imrd/directdoc.asp?DDFDocuments/v/G/TBTN15/HKG47.DOC</v>
      </c>
      <c r="M411" s="2" t="str">
        <f>HYPERLINK("http://www.epingalert.org/#/details/G/TBT/N/HKG/47")</f>
        <v>http://www.epingalert.org/#/details/G/TBT/N/HKG/47</v>
      </c>
      <c r="N411" s="2"/>
      <c r="O411" s="2"/>
    </row>
    <row r="412" spans="1:15" ht="105" outlineLevel="1" x14ac:dyDescent="0.25">
      <c r="A412" s="2" t="s">
        <v>77</v>
      </c>
      <c r="B412" s="4" t="s">
        <v>777</v>
      </c>
      <c r="C412" s="2" t="s">
        <v>778</v>
      </c>
      <c r="D412" s="2" t="s">
        <v>779</v>
      </c>
      <c r="E412" s="3">
        <v>42032</v>
      </c>
      <c r="F412" s="2" t="s">
        <v>384</v>
      </c>
      <c r="G412" s="2"/>
      <c r="H412" s="2" t="s">
        <v>82</v>
      </c>
      <c r="I412" s="3">
        <v>42092</v>
      </c>
      <c r="J412" s="2" t="str">
        <f>HYPERLINK("https://docs.wto.org/imrd/directdoc.asp?DDFDocuments/t/G/TBTN15/TPKM199.DOC")</f>
        <v>https://docs.wto.org/imrd/directdoc.asp?DDFDocuments/t/G/TBTN15/TPKM199.DOC</v>
      </c>
      <c r="K412" s="2" t="str">
        <f>HYPERLINK("https://docs.wto.org/imrd/directdoc.asp?DDFDocuments/u/G/TBTN15/TPKM199.DOC")</f>
        <v>https://docs.wto.org/imrd/directdoc.asp?DDFDocuments/u/G/TBTN15/TPKM199.DOC</v>
      </c>
      <c r="L412" s="2" t="str">
        <f>HYPERLINK("https://docs.wto.org/imrd/directdoc.asp?DDFDocuments/v/G/TBTN15/TPKM199.DOC")</f>
        <v>https://docs.wto.org/imrd/directdoc.asp?DDFDocuments/v/G/TBTN15/TPKM199.DOC</v>
      </c>
      <c r="M412" s="2" t="str">
        <f>HYPERLINK("http://www.epingalert.org/#/details/G/TBT/N/TPKM/199")</f>
        <v>http://www.epingalert.org/#/details/G/TBT/N/TPKM/199</v>
      </c>
      <c r="N412" s="2"/>
      <c r="O412" s="2"/>
    </row>
    <row r="413" spans="1:15" ht="120" outlineLevel="1" x14ac:dyDescent="0.25">
      <c r="A413" s="2" t="s">
        <v>77</v>
      </c>
      <c r="B413" s="4" t="s">
        <v>780</v>
      </c>
      <c r="C413" s="2" t="s">
        <v>781</v>
      </c>
      <c r="D413" s="2" t="s">
        <v>782</v>
      </c>
      <c r="E413" s="3">
        <v>42032</v>
      </c>
      <c r="F413" s="2" t="s">
        <v>384</v>
      </c>
      <c r="G413" s="2"/>
      <c r="H413" s="2" t="s">
        <v>82</v>
      </c>
      <c r="I413" s="3">
        <v>42092</v>
      </c>
      <c r="J413" s="2" t="str">
        <f>HYPERLINK("https://docs.wto.org/imrd/directdoc.asp?DDFDocuments/t/G/TBTN15/TPKM198.DOC")</f>
        <v>https://docs.wto.org/imrd/directdoc.asp?DDFDocuments/t/G/TBTN15/TPKM198.DOC</v>
      </c>
      <c r="K413" s="2" t="str">
        <f>HYPERLINK("https://docs.wto.org/imrd/directdoc.asp?DDFDocuments/u/G/TBTN15/TPKM198.DOC")</f>
        <v>https://docs.wto.org/imrd/directdoc.asp?DDFDocuments/u/G/TBTN15/TPKM198.DOC</v>
      </c>
      <c r="L413" s="2" t="str">
        <f>HYPERLINK("https://docs.wto.org/imrd/directdoc.asp?DDFDocuments/v/G/TBTN15/TPKM198.DOC")</f>
        <v>https://docs.wto.org/imrd/directdoc.asp?DDFDocuments/v/G/TBTN15/TPKM198.DOC</v>
      </c>
      <c r="M413" s="2" t="str">
        <f>HYPERLINK("http://www.epingalert.org/#/details/G/TBT/N/TPKM/198")</f>
        <v>http://www.epingalert.org/#/details/G/TBT/N/TPKM/198</v>
      </c>
      <c r="N413" s="2"/>
      <c r="O413" s="2"/>
    </row>
    <row r="414" spans="1:15" ht="120" outlineLevel="1" x14ac:dyDescent="0.25">
      <c r="A414" s="2" t="s">
        <v>181</v>
      </c>
      <c r="B414" s="4" t="s">
        <v>783</v>
      </c>
      <c r="C414" s="2" t="s">
        <v>784</v>
      </c>
      <c r="D414" s="2" t="s">
        <v>785</v>
      </c>
      <c r="E414" s="3">
        <v>42019</v>
      </c>
      <c r="F414" s="2" t="s">
        <v>743</v>
      </c>
      <c r="G414" s="2"/>
      <c r="H414" s="2" t="s">
        <v>198</v>
      </c>
      <c r="I414" s="3">
        <v>42079</v>
      </c>
      <c r="J414" s="2" t="str">
        <f>HYPERLINK("https://docs.wto.org/imrd/directdoc.asp?DDFDocuments/t/G/TBTN15/BHR380.DOC")</f>
        <v>https://docs.wto.org/imrd/directdoc.asp?DDFDocuments/t/G/TBTN15/BHR380.DOC</v>
      </c>
      <c r="K414" s="2" t="str">
        <f>HYPERLINK("https://docs.wto.org/imrd/directdoc.asp?DDFDocuments/u/G/TBTN15/BHR380.DOC")</f>
        <v>https://docs.wto.org/imrd/directdoc.asp?DDFDocuments/u/G/TBTN15/BHR380.DOC</v>
      </c>
      <c r="L414" s="2" t="str">
        <f>HYPERLINK("https://docs.wto.org/imrd/directdoc.asp?DDFDocuments/v/G/TBTN15/BHR380.DOC")</f>
        <v>https://docs.wto.org/imrd/directdoc.asp?DDFDocuments/v/G/TBTN15/BHR380.DOC</v>
      </c>
      <c r="M414" s="2" t="str">
        <f>HYPERLINK("http://www.epingalert.org/#/details/G/TBT/N/BHR/380")</f>
        <v>http://www.epingalert.org/#/details/G/TBT/N/BHR/380</v>
      </c>
      <c r="N414" s="2"/>
      <c r="O414" s="2"/>
    </row>
    <row r="415" spans="1:15" ht="105" outlineLevel="1" x14ac:dyDescent="0.25">
      <c r="A415" s="2" t="s">
        <v>77</v>
      </c>
      <c r="B415" s="4" t="s">
        <v>786</v>
      </c>
      <c r="C415" s="2" t="s">
        <v>787</v>
      </c>
      <c r="D415" s="2" t="s">
        <v>788</v>
      </c>
      <c r="E415" s="3">
        <v>42018</v>
      </c>
      <c r="F415" s="2" t="s">
        <v>789</v>
      </c>
      <c r="G415" s="2"/>
      <c r="H415" s="2" t="s">
        <v>17</v>
      </c>
      <c r="I415" s="3">
        <v>42078</v>
      </c>
      <c r="J415" s="2" t="str">
        <f>HYPERLINK("https://docs.wto.org/imrd/directdoc.asp?DDFDocuments/t/G/TBTN15/TPKM194.DOC")</f>
        <v>https://docs.wto.org/imrd/directdoc.asp?DDFDocuments/t/G/TBTN15/TPKM194.DOC</v>
      </c>
      <c r="K415" s="2" t="str">
        <f>HYPERLINK("https://docs.wto.org/imrd/directdoc.asp?DDFDocuments/u/G/TBTN15/TPKM194.DOC")</f>
        <v>https://docs.wto.org/imrd/directdoc.asp?DDFDocuments/u/G/TBTN15/TPKM194.DOC</v>
      </c>
      <c r="L415" s="2" t="str">
        <f>HYPERLINK("https://docs.wto.org/imrd/directdoc.asp?DDFDocuments/v/G/TBTN15/TPKM194.DOC")</f>
        <v>https://docs.wto.org/imrd/directdoc.asp?DDFDocuments/v/G/TBTN15/TPKM194.DOC</v>
      </c>
      <c r="M415" s="2" t="str">
        <f>HYPERLINK("http://www.epingalert.org/#/details/G/TBT/N/TPKM/194")</f>
        <v>http://www.epingalert.org/#/details/G/TBT/N/TPKM/194</v>
      </c>
      <c r="N415" s="2"/>
      <c r="O415" s="2"/>
    </row>
    <row r="416" spans="1:15" ht="105" outlineLevel="1" x14ac:dyDescent="0.25">
      <c r="A416" s="2" t="s">
        <v>178</v>
      </c>
      <c r="B416" s="4" t="s">
        <v>790</v>
      </c>
      <c r="C416" s="2" t="s">
        <v>791</v>
      </c>
      <c r="D416" s="2" t="s">
        <v>792</v>
      </c>
      <c r="E416" s="3">
        <v>42017</v>
      </c>
      <c r="F416" s="2" t="s">
        <v>793</v>
      </c>
      <c r="G416" s="2"/>
      <c r="H416" s="2" t="s">
        <v>24</v>
      </c>
      <c r="I416" s="3">
        <v>42077</v>
      </c>
      <c r="J416" s="2" t="str">
        <f>HYPERLINK("https://docs.wto.org/imrd/directdoc.asp?DDFDocuments/t/G/TBTN15/QAT376.DOC")</f>
        <v>https://docs.wto.org/imrd/directdoc.asp?DDFDocuments/t/G/TBTN15/QAT376.DOC</v>
      </c>
      <c r="K416" s="2" t="str">
        <f>HYPERLINK("https://docs.wto.org/imrd/directdoc.asp?DDFDocuments/u/G/TBTN15/QAT376.DOC")</f>
        <v>https://docs.wto.org/imrd/directdoc.asp?DDFDocuments/u/G/TBTN15/QAT376.DOC</v>
      </c>
      <c r="L416" s="2" t="str">
        <f>HYPERLINK("https://docs.wto.org/imrd/directdoc.asp?DDFDocuments/v/G/TBTN15/QAT376.DOC")</f>
        <v>https://docs.wto.org/imrd/directdoc.asp?DDFDocuments/v/G/TBTN15/QAT376.DOC</v>
      </c>
      <c r="M416" s="2" t="str">
        <f>HYPERLINK("http://www.epingalert.org/#/details/G/TBT/N/QAT/376")</f>
        <v>http://www.epingalert.org/#/details/G/TBT/N/QAT/376</v>
      </c>
      <c r="N416" s="2"/>
      <c r="O416" s="2"/>
    </row>
    <row r="417" spans="1:15" ht="75" outlineLevel="1" x14ac:dyDescent="0.25">
      <c r="A417" s="2" t="s">
        <v>77</v>
      </c>
      <c r="B417" s="4" t="s">
        <v>794</v>
      </c>
      <c r="C417" s="2" t="s">
        <v>795</v>
      </c>
      <c r="D417" s="2" t="s">
        <v>796</v>
      </c>
      <c r="E417" s="3">
        <v>42017</v>
      </c>
      <c r="F417" s="2" t="s">
        <v>797</v>
      </c>
      <c r="G417" s="2"/>
      <c r="H417" s="2" t="s">
        <v>17</v>
      </c>
      <c r="I417" s="3">
        <v>42077</v>
      </c>
      <c r="J417" s="2" t="str">
        <f>HYPERLINK("https://docs.wto.org/imrd/directdoc.asp?DDFDocuments/t/G/TBTN15/TPKM193.DOC")</f>
        <v>https://docs.wto.org/imrd/directdoc.asp?DDFDocuments/t/G/TBTN15/TPKM193.DOC</v>
      </c>
      <c r="K417" s="2" t="str">
        <f>HYPERLINK("https://docs.wto.org/imrd/directdoc.asp?DDFDocuments/u/G/TBTN15/TPKM193.DOC")</f>
        <v>https://docs.wto.org/imrd/directdoc.asp?DDFDocuments/u/G/TBTN15/TPKM193.DOC</v>
      </c>
      <c r="L417" s="2" t="str">
        <f>HYPERLINK("https://docs.wto.org/imrd/directdoc.asp?DDFDocuments/v/G/TBTN15/TPKM193.DOC")</f>
        <v>https://docs.wto.org/imrd/directdoc.asp?DDFDocuments/v/G/TBTN15/TPKM193.DOC</v>
      </c>
      <c r="M417" s="2" t="str">
        <f>HYPERLINK("http://www.epingalert.org/#/details/G/TBT/N/TPKM/193")</f>
        <v>http://www.epingalert.org/#/details/G/TBT/N/TPKM/193</v>
      </c>
      <c r="N417" s="2"/>
      <c r="O417" s="2"/>
    </row>
    <row r="418" spans="1:15" ht="255" outlineLevel="1" x14ac:dyDescent="0.25">
      <c r="A418" s="2" t="s">
        <v>77</v>
      </c>
      <c r="B418" s="4" t="s">
        <v>798</v>
      </c>
      <c r="C418" s="2" t="s">
        <v>799</v>
      </c>
      <c r="D418" s="2" t="s">
        <v>800</v>
      </c>
      <c r="E418" s="3">
        <v>42017</v>
      </c>
      <c r="F418" s="2" t="s">
        <v>221</v>
      </c>
      <c r="G418" s="2"/>
      <c r="H418" s="2" t="s">
        <v>24</v>
      </c>
      <c r="I418" s="2"/>
      <c r="J418" s="2" t="str">
        <f>HYPERLINK("https://docs.wto.org/imrd/directdoc.asp?DDFDocuments/t/G/TBTN15/TPKM192.DOC")</f>
        <v>https://docs.wto.org/imrd/directdoc.asp?DDFDocuments/t/G/TBTN15/TPKM192.DOC</v>
      </c>
      <c r="K418" s="2" t="str">
        <f>HYPERLINK("https://docs.wto.org/imrd/directdoc.asp?DDFDocuments/u/G/TBTN15/TPKM192.DOC")</f>
        <v>https://docs.wto.org/imrd/directdoc.asp?DDFDocuments/u/G/TBTN15/TPKM192.DOC</v>
      </c>
      <c r="L418" s="2" t="str">
        <f>HYPERLINK("https://docs.wto.org/imrd/directdoc.asp?DDFDocuments/v/G/TBTN15/TPKM192.DOC")</f>
        <v>https://docs.wto.org/imrd/directdoc.asp?DDFDocuments/v/G/TBTN15/TPKM192.DOC</v>
      </c>
      <c r="M418" s="2" t="str">
        <f>HYPERLINK("http://www.epingalert.org/#/details/G/TBT/N/TPKM/192")</f>
        <v>http://www.epingalert.org/#/details/G/TBT/N/TPKM/192</v>
      </c>
      <c r="N418" s="2"/>
      <c r="O418" s="2"/>
    </row>
    <row r="419" spans="1:15" ht="90" outlineLevel="1" x14ac:dyDescent="0.25">
      <c r="A419" s="2" t="s">
        <v>312</v>
      </c>
      <c r="B419" s="4" t="s">
        <v>801</v>
      </c>
      <c r="C419" s="2" t="s">
        <v>802</v>
      </c>
      <c r="D419" s="8" t="s">
        <v>803</v>
      </c>
      <c r="E419" s="3">
        <v>42016</v>
      </c>
      <c r="F419" s="2"/>
      <c r="G419" s="2" t="s">
        <v>804</v>
      </c>
      <c r="H419" s="2" t="s">
        <v>30</v>
      </c>
      <c r="I419" s="3">
        <v>42076</v>
      </c>
      <c r="J419" s="2" t="str">
        <f>HYPERLINK("https://docs.wto.org/imrd/directdoc.asp?DDFDocuments/t/G/TBTN15/UGA452.DOC")</f>
        <v>https://docs.wto.org/imrd/directdoc.asp?DDFDocuments/t/G/TBTN15/UGA452.DOC</v>
      </c>
      <c r="K419" s="2" t="str">
        <f>HYPERLINK("https://docs.wto.org/imrd/directdoc.asp?DDFDocuments/u/G/TBTN15/UGA452.DOC")</f>
        <v>https://docs.wto.org/imrd/directdoc.asp?DDFDocuments/u/G/TBTN15/UGA452.DOC</v>
      </c>
      <c r="L419" s="2" t="str">
        <f>HYPERLINK("https://docs.wto.org/imrd/directdoc.asp?DDFDocuments/v/G/TBTN15/UGA452.DOC")</f>
        <v>https://docs.wto.org/imrd/directdoc.asp?DDFDocuments/v/G/TBTN15/UGA452.DOC</v>
      </c>
      <c r="M419" s="2" t="str">
        <f>HYPERLINK("http://www.epingalert.org/#/details/G/TBT/N/UGA/452")</f>
        <v>http://www.epingalert.org/#/details/G/TBT/N/UGA/452</v>
      </c>
      <c r="N419" s="2"/>
      <c r="O419" s="2"/>
    </row>
    <row r="420" spans="1:15" ht="90" outlineLevel="1" x14ac:dyDescent="0.25">
      <c r="A420" s="2" t="s">
        <v>312</v>
      </c>
      <c r="B420" s="4" t="s">
        <v>805</v>
      </c>
      <c r="C420" s="2" t="s">
        <v>806</v>
      </c>
      <c r="D420" s="2" t="s">
        <v>807</v>
      </c>
      <c r="E420" s="3">
        <v>42016</v>
      </c>
      <c r="F420" s="2"/>
      <c r="G420" s="2" t="s">
        <v>804</v>
      </c>
      <c r="H420" s="2" t="s">
        <v>30</v>
      </c>
      <c r="I420" s="3">
        <v>42076</v>
      </c>
      <c r="J420" s="2" t="str">
        <f>HYPERLINK("https://docs.wto.org/imrd/directdoc.asp?DDFDocuments/t/G/TBTN15/UGA451.DOC")</f>
        <v>https://docs.wto.org/imrd/directdoc.asp?DDFDocuments/t/G/TBTN15/UGA451.DOC</v>
      </c>
      <c r="K420" s="2" t="str">
        <f>HYPERLINK("https://docs.wto.org/imrd/directdoc.asp?DDFDocuments/u/G/TBTN15/UGA451.DOC")</f>
        <v>https://docs.wto.org/imrd/directdoc.asp?DDFDocuments/u/G/TBTN15/UGA451.DOC</v>
      </c>
      <c r="L420" s="2" t="str">
        <f>HYPERLINK("https://docs.wto.org/imrd/directdoc.asp?DDFDocuments/v/G/TBTN15/UGA451.DOC")</f>
        <v>https://docs.wto.org/imrd/directdoc.asp?DDFDocuments/v/G/TBTN15/UGA451.DOC</v>
      </c>
      <c r="M420" s="2" t="str">
        <f>HYPERLINK("http://www.epingalert.org/#/details/G/TBT/N/UGA/451")</f>
        <v>http://www.epingalert.org/#/details/G/TBT/N/UGA/451</v>
      </c>
      <c r="N420" s="2"/>
      <c r="O420" s="2"/>
    </row>
    <row r="421" spans="1:15" ht="135" outlineLevel="1" x14ac:dyDescent="0.25">
      <c r="A421" s="2" t="s">
        <v>312</v>
      </c>
      <c r="B421" s="4" t="s">
        <v>808</v>
      </c>
      <c r="C421" s="2" t="s">
        <v>809</v>
      </c>
      <c r="D421" s="8" t="s">
        <v>810</v>
      </c>
      <c r="E421" s="3">
        <v>42016</v>
      </c>
      <c r="F421" s="2"/>
      <c r="G421" s="2" t="s">
        <v>804</v>
      </c>
      <c r="H421" s="2" t="s">
        <v>30</v>
      </c>
      <c r="I421" s="3">
        <v>42076</v>
      </c>
      <c r="J421" s="2" t="str">
        <f>HYPERLINK("https://docs.wto.org/imrd/directdoc.asp?DDFDocuments/t/G/TBTN15/UGA450.DOC")</f>
        <v>https://docs.wto.org/imrd/directdoc.asp?DDFDocuments/t/G/TBTN15/UGA450.DOC</v>
      </c>
      <c r="K421" s="2" t="str">
        <f>HYPERLINK("https://docs.wto.org/imrd/directdoc.asp?DDFDocuments/u/G/TBTN15/UGA450.DOC")</f>
        <v>https://docs.wto.org/imrd/directdoc.asp?DDFDocuments/u/G/TBTN15/UGA450.DOC</v>
      </c>
      <c r="L421" s="2" t="str">
        <f>HYPERLINK("https://docs.wto.org/imrd/directdoc.asp?DDFDocuments/v/G/TBTN15/UGA450.DOC")</f>
        <v>https://docs.wto.org/imrd/directdoc.asp?DDFDocuments/v/G/TBTN15/UGA450.DOC</v>
      </c>
      <c r="M421" s="2" t="str">
        <f>HYPERLINK("http://www.epingalert.org/#/details/G/TBT/N/UGA/450")</f>
        <v>http://www.epingalert.org/#/details/G/TBT/N/UGA/450</v>
      </c>
      <c r="N421" s="2"/>
      <c r="O421" s="2"/>
    </row>
    <row r="422" spans="1:15" ht="120" outlineLevel="1" x14ac:dyDescent="0.25">
      <c r="A422" s="2" t="s">
        <v>312</v>
      </c>
      <c r="B422" s="4" t="s">
        <v>1539</v>
      </c>
      <c r="C422" s="2" t="s">
        <v>1540</v>
      </c>
      <c r="D422" s="2" t="s">
        <v>1541</v>
      </c>
      <c r="E422" s="3">
        <v>42016</v>
      </c>
      <c r="F422" s="2"/>
      <c r="G422" s="2" t="s">
        <v>1477</v>
      </c>
      <c r="H422" s="2" t="s">
        <v>198</v>
      </c>
      <c r="I422" s="3">
        <v>42076</v>
      </c>
      <c r="J422" s="2" t="str">
        <f>HYPERLINK("https://docs.wto.org/imrd/directdoc.asp?DDFDocuments/t/G/TBTN15/UGA455.DOC")</f>
        <v>https://docs.wto.org/imrd/directdoc.asp?DDFDocuments/t/G/TBTN15/UGA455.DOC</v>
      </c>
      <c r="K422" s="2" t="str">
        <f>HYPERLINK("https://docs.wto.org/imrd/directdoc.asp?DDFDocuments/u/G/TBTN15/UGA455.DOC")</f>
        <v>https://docs.wto.org/imrd/directdoc.asp?DDFDocuments/u/G/TBTN15/UGA455.DOC</v>
      </c>
      <c r="L422" s="2" t="str">
        <f>HYPERLINK("https://docs.wto.org/imrd/directdoc.asp?DDFDocuments/v/G/TBTN15/UGA455.DOC")</f>
        <v>https://docs.wto.org/imrd/directdoc.asp?DDFDocuments/v/G/TBTN15/UGA455.DOC</v>
      </c>
      <c r="M422" s="2" t="str">
        <f>HYPERLINK("http://www.epingalert.org/#/details/G/TBT/N/UGA/455")</f>
        <v>http://www.epingalert.org/#/details/G/TBT/N/UGA/455</v>
      </c>
      <c r="N422" s="2"/>
      <c r="O422" s="2"/>
    </row>
    <row r="423" spans="1:15" ht="120" outlineLevel="1" x14ac:dyDescent="0.25">
      <c r="A423" s="2" t="s">
        <v>312</v>
      </c>
      <c r="B423" s="4" t="s">
        <v>1542</v>
      </c>
      <c r="C423" s="2" t="s">
        <v>1543</v>
      </c>
      <c r="D423" s="2" t="s">
        <v>1544</v>
      </c>
      <c r="E423" s="3">
        <v>42016</v>
      </c>
      <c r="F423" s="2"/>
      <c r="G423" s="2" t="s">
        <v>1477</v>
      </c>
      <c r="H423" s="2" t="s">
        <v>198</v>
      </c>
      <c r="I423" s="3">
        <v>42076</v>
      </c>
      <c r="J423" s="2" t="str">
        <f>HYPERLINK("https://docs.wto.org/imrd/directdoc.asp?DDFDocuments/t/G/TBTN15/UGA454.DOC")</f>
        <v>https://docs.wto.org/imrd/directdoc.asp?DDFDocuments/t/G/TBTN15/UGA454.DOC</v>
      </c>
      <c r="K423" s="2" t="str">
        <f>HYPERLINK("https://docs.wto.org/imrd/directdoc.asp?DDFDocuments/u/G/TBTN15/UGA454.DOC")</f>
        <v>https://docs.wto.org/imrd/directdoc.asp?DDFDocuments/u/G/TBTN15/UGA454.DOC</v>
      </c>
      <c r="L423" s="2" t="str">
        <f>HYPERLINK("https://docs.wto.org/imrd/directdoc.asp?DDFDocuments/v/G/TBTN15/UGA454.DOC")</f>
        <v>https://docs.wto.org/imrd/directdoc.asp?DDFDocuments/v/G/TBTN15/UGA454.DOC</v>
      </c>
      <c r="M423" s="2" t="str">
        <f>HYPERLINK("http://www.epingalert.org/#/details/G/TBT/N/UGA/454")</f>
        <v>http://www.epingalert.org/#/details/G/TBT/N/UGA/454</v>
      </c>
      <c r="N423" s="2"/>
      <c r="O423" s="2"/>
    </row>
    <row r="424" spans="1:15" ht="120" outlineLevel="1" x14ac:dyDescent="0.25">
      <c r="A424" s="2" t="s">
        <v>312</v>
      </c>
      <c r="B424" s="4" t="s">
        <v>1545</v>
      </c>
      <c r="C424" s="2" t="s">
        <v>1546</v>
      </c>
      <c r="D424" s="2" t="s">
        <v>1547</v>
      </c>
      <c r="E424" s="3">
        <v>42016</v>
      </c>
      <c r="F424" s="2"/>
      <c r="G424" s="2" t="s">
        <v>1477</v>
      </c>
      <c r="H424" s="2" t="s">
        <v>198</v>
      </c>
      <c r="I424" s="3">
        <v>42076</v>
      </c>
      <c r="J424" s="2" t="str">
        <f>HYPERLINK("https://docs.wto.org/imrd/directdoc.asp?DDFDocuments/t/G/TBTN15/UGA453.DOC")</f>
        <v>https://docs.wto.org/imrd/directdoc.asp?DDFDocuments/t/G/TBTN15/UGA453.DOC</v>
      </c>
      <c r="K424" s="2" t="str">
        <f>HYPERLINK("https://docs.wto.org/imrd/directdoc.asp?DDFDocuments/u/G/TBTN15/UGA453.DOC")</f>
        <v>https://docs.wto.org/imrd/directdoc.asp?DDFDocuments/u/G/TBTN15/UGA453.DOC</v>
      </c>
      <c r="L424" s="2" t="str">
        <f>HYPERLINK("https://docs.wto.org/imrd/directdoc.asp?DDFDocuments/v/G/TBTN15/UGA453.DOC")</f>
        <v>https://docs.wto.org/imrd/directdoc.asp?DDFDocuments/v/G/TBTN15/UGA453.DOC</v>
      </c>
      <c r="M424" s="2" t="str">
        <f>HYPERLINK("http://www.epingalert.org/#/details/G/TBT/N/UGA/453")</f>
        <v>http://www.epingalert.org/#/details/G/TBT/N/UGA/453</v>
      </c>
      <c r="N424" s="2"/>
      <c r="O424" s="2"/>
    </row>
    <row r="425" spans="1:15" ht="120" outlineLevel="1" x14ac:dyDescent="0.25">
      <c r="A425" s="2" t="s">
        <v>312</v>
      </c>
      <c r="B425" s="4" t="s">
        <v>1776</v>
      </c>
      <c r="C425" s="2" t="s">
        <v>1777</v>
      </c>
      <c r="D425" s="2" t="s">
        <v>1778</v>
      </c>
      <c r="E425" s="3">
        <v>42013</v>
      </c>
      <c r="F425" s="2"/>
      <c r="G425" s="2" t="s">
        <v>1660</v>
      </c>
      <c r="H425" s="2" t="s">
        <v>198</v>
      </c>
      <c r="I425" s="3">
        <v>42073</v>
      </c>
      <c r="J425" s="2" t="str">
        <f>HYPERLINK("https://docs.wto.org/imrd/directdoc.asp?DDFDocuments/t/G/TBTN15/UGA445.DOC")</f>
        <v>https://docs.wto.org/imrd/directdoc.asp?DDFDocuments/t/G/TBTN15/UGA445.DOC</v>
      </c>
      <c r="K425" s="2" t="str">
        <f>HYPERLINK("https://docs.wto.org/imrd/directdoc.asp?DDFDocuments/u/G/TBTN15/UGA445.DOC")</f>
        <v>https://docs.wto.org/imrd/directdoc.asp?DDFDocuments/u/G/TBTN15/UGA445.DOC</v>
      </c>
      <c r="L425" s="2" t="str">
        <f>HYPERLINK("https://docs.wto.org/imrd/directdoc.asp?DDFDocuments/v/G/TBTN15/UGA445.DOC")</f>
        <v>https://docs.wto.org/imrd/directdoc.asp?DDFDocuments/v/G/TBTN15/UGA445.DOC</v>
      </c>
      <c r="M425" s="2" t="str">
        <f>HYPERLINK("http://www.epingalert.org/#/details/G/TBT/N/UGA/445")</f>
        <v>http://www.epingalert.org/#/details/G/TBT/N/UGA/445</v>
      </c>
      <c r="N425" s="2"/>
      <c r="O425" s="2"/>
    </row>
    <row r="426" spans="1:15" ht="90" outlineLevel="1" x14ac:dyDescent="0.25">
      <c r="A426" s="2" t="s">
        <v>184</v>
      </c>
      <c r="B426" s="4" t="s">
        <v>811</v>
      </c>
      <c r="C426" s="2" t="s">
        <v>812</v>
      </c>
      <c r="D426" s="2" t="s">
        <v>785</v>
      </c>
      <c r="E426" s="3">
        <v>42012</v>
      </c>
      <c r="F426" s="2"/>
      <c r="G426" s="2" t="s">
        <v>23</v>
      </c>
      <c r="H426" s="2" t="s">
        <v>30</v>
      </c>
      <c r="I426" s="3">
        <v>42072</v>
      </c>
      <c r="J426" s="2" t="str">
        <f>HYPERLINK("https://docs.wto.org/imrd/directdoc.asp?DDFDocuments/t/G/TBTN15/ARE251.DOC")</f>
        <v>https://docs.wto.org/imrd/directdoc.asp?DDFDocuments/t/G/TBTN15/ARE251.DOC</v>
      </c>
      <c r="K426" s="2" t="str">
        <f>HYPERLINK("https://docs.wto.org/imrd/directdoc.asp?DDFDocuments/u/G/TBTN15/ARE251.DOC")</f>
        <v>https://docs.wto.org/imrd/directdoc.asp?DDFDocuments/u/G/TBTN15/ARE251.DOC</v>
      </c>
      <c r="L426" s="2" t="str">
        <f>HYPERLINK("https://docs.wto.org/imrd/directdoc.asp?DDFDocuments/v/G/TBTN15/ARE251.DOC")</f>
        <v>https://docs.wto.org/imrd/directdoc.asp?DDFDocuments/v/G/TBTN15/ARE251.DOC</v>
      </c>
      <c r="M426" s="2" t="str">
        <f>HYPERLINK("http://www.epingalert.org/#/details/G/TBT/N/ARE/251")</f>
        <v>http://www.epingalert.org/#/details/G/TBT/N/ARE/251</v>
      </c>
      <c r="N426" s="2"/>
      <c r="O426" s="2"/>
    </row>
    <row r="427" spans="1:15" ht="225" outlineLevel="1" x14ac:dyDescent="0.25">
      <c r="A427" s="2" t="s">
        <v>154</v>
      </c>
      <c r="B427" s="4" t="s">
        <v>813</v>
      </c>
      <c r="C427" s="2" t="s">
        <v>814</v>
      </c>
      <c r="D427" s="2" t="s">
        <v>815</v>
      </c>
      <c r="E427" s="3">
        <v>42012</v>
      </c>
      <c r="F427" s="2" t="s">
        <v>816</v>
      </c>
      <c r="G427" s="2"/>
      <c r="H427" s="2" t="s">
        <v>127</v>
      </c>
      <c r="I427" s="3">
        <v>42072</v>
      </c>
      <c r="J427" s="2" t="str">
        <f>HYPERLINK("https://docs.wto.org/imrd/directdoc.asp?DDFDocuments/t/G/TBTN15/IDN95.DOC")</f>
        <v>https://docs.wto.org/imrd/directdoc.asp?DDFDocuments/t/G/TBTN15/IDN95.DOC</v>
      </c>
      <c r="K427" s="2" t="str">
        <f>HYPERLINK("https://docs.wto.org/imrd/directdoc.asp?DDFDocuments/u/G/TBTN15/IDN95.DOC")</f>
        <v>https://docs.wto.org/imrd/directdoc.asp?DDFDocuments/u/G/TBTN15/IDN95.DOC</v>
      </c>
      <c r="L427" s="2" t="str">
        <f>HYPERLINK("https://docs.wto.org/imrd/directdoc.asp?DDFDocuments/v/G/TBTN15/IDN95.DOC")</f>
        <v>https://docs.wto.org/imrd/directdoc.asp?DDFDocuments/v/G/TBTN15/IDN95.DOC</v>
      </c>
      <c r="M427" s="2" t="str">
        <f>HYPERLINK("http://www.epingalert.org/#/details/G/TBT/N/IDN/95")</f>
        <v>http://www.epingalert.org/#/details/G/TBT/N/IDN/95</v>
      </c>
      <c r="N427" s="2"/>
      <c r="O427" s="2"/>
    </row>
    <row r="428" spans="1:15" ht="375" outlineLevel="1" x14ac:dyDescent="0.25">
      <c r="A428" s="2" t="s">
        <v>154</v>
      </c>
      <c r="B428" s="4" t="s">
        <v>817</v>
      </c>
      <c r="C428" s="2" t="s">
        <v>818</v>
      </c>
      <c r="D428" s="2" t="s">
        <v>819</v>
      </c>
      <c r="E428" s="3">
        <v>42012</v>
      </c>
      <c r="F428" s="2" t="s">
        <v>816</v>
      </c>
      <c r="G428" s="2"/>
      <c r="H428" s="2" t="s">
        <v>127</v>
      </c>
      <c r="I428" s="3">
        <v>42072</v>
      </c>
      <c r="J428" s="2" t="str">
        <f>HYPERLINK("https://docs.wto.org/imrd/directdoc.asp?DDFDocuments/t/G/TBTN15/IDN92.DOC")</f>
        <v>https://docs.wto.org/imrd/directdoc.asp?DDFDocuments/t/G/TBTN15/IDN92.DOC</v>
      </c>
      <c r="K428" s="2" t="str">
        <f>HYPERLINK("https://docs.wto.org/imrd/directdoc.asp?DDFDocuments/u/G/TBTN15/IDN92.DOC")</f>
        <v>https://docs.wto.org/imrd/directdoc.asp?DDFDocuments/u/G/TBTN15/IDN92.DOC</v>
      </c>
      <c r="L428" s="2" t="str">
        <f>HYPERLINK("https://docs.wto.org/imrd/directdoc.asp?DDFDocuments/v/G/TBTN15/IDN92.DOC")</f>
        <v>https://docs.wto.org/imrd/directdoc.asp?DDFDocuments/v/G/TBTN15/IDN92.DOC</v>
      </c>
      <c r="M428" s="2" t="str">
        <f>HYPERLINK("http://www.epingalert.org/#/details/G/TBT/N/IDN/92")</f>
        <v>http://www.epingalert.org/#/details/G/TBT/N/IDN/92</v>
      </c>
      <c r="N428" s="2"/>
      <c r="O428" s="2"/>
    </row>
    <row r="429" spans="1:15" ht="225" outlineLevel="1" x14ac:dyDescent="0.25">
      <c r="A429" s="2" t="s">
        <v>312</v>
      </c>
      <c r="B429" s="4" t="s">
        <v>1779</v>
      </c>
      <c r="C429" s="2" t="s">
        <v>1780</v>
      </c>
      <c r="D429" s="2" t="s">
        <v>1781</v>
      </c>
      <c r="E429" s="3">
        <v>42012</v>
      </c>
      <c r="F429" s="2"/>
      <c r="G429" s="2" t="s">
        <v>1660</v>
      </c>
      <c r="H429" s="2" t="s">
        <v>198</v>
      </c>
      <c r="I429" s="3">
        <v>42072</v>
      </c>
      <c r="J429" s="2" t="str">
        <f>HYPERLINK("https://docs.wto.org/imrd/directdoc.asp?DDFDocuments/t/G/TBTN15/UGA444.DOC")</f>
        <v>https://docs.wto.org/imrd/directdoc.asp?DDFDocuments/t/G/TBTN15/UGA444.DOC</v>
      </c>
      <c r="K429" s="2" t="str">
        <f>HYPERLINK("https://docs.wto.org/imrd/directdoc.asp?DDFDocuments/u/G/TBTN15/UGA444.DOC")</f>
        <v>https://docs.wto.org/imrd/directdoc.asp?DDFDocuments/u/G/TBTN15/UGA444.DOC</v>
      </c>
      <c r="L429" s="2" t="str">
        <f>HYPERLINK("https://docs.wto.org/imrd/directdoc.asp?DDFDocuments/v/G/TBTN15/UGA444.DOC")</f>
        <v>https://docs.wto.org/imrd/directdoc.asp?DDFDocuments/v/G/TBTN15/UGA444.DOC</v>
      </c>
      <c r="M429" s="2" t="str">
        <f>HYPERLINK("http://www.epingalert.org/#/details/G/TBT/N/UGA/444")</f>
        <v>http://www.epingalert.org/#/details/G/TBT/N/UGA/444</v>
      </c>
      <c r="N429" s="2" t="s">
        <v>9332</v>
      </c>
      <c r="O429" s="2"/>
    </row>
    <row r="430" spans="1:15" ht="120" outlineLevel="1" x14ac:dyDescent="0.25">
      <c r="A430" s="2" t="s">
        <v>312</v>
      </c>
      <c r="B430" s="4" t="s">
        <v>1782</v>
      </c>
      <c r="C430" s="2" t="s">
        <v>1783</v>
      </c>
      <c r="D430" s="2" t="s">
        <v>1784</v>
      </c>
      <c r="E430" s="3">
        <v>42012</v>
      </c>
      <c r="F430" s="2"/>
      <c r="G430" s="2" t="s">
        <v>1660</v>
      </c>
      <c r="H430" s="2" t="s">
        <v>198</v>
      </c>
      <c r="I430" s="3">
        <v>42072</v>
      </c>
      <c r="J430" s="2" t="str">
        <f>HYPERLINK("https://docs.wto.org/imrd/directdoc.asp?DDFDocuments/t/G/TBTN15/UGA443.DOC")</f>
        <v>https://docs.wto.org/imrd/directdoc.asp?DDFDocuments/t/G/TBTN15/UGA443.DOC</v>
      </c>
      <c r="K430" s="2" t="str">
        <f>HYPERLINK("https://docs.wto.org/imrd/directdoc.asp?DDFDocuments/u/G/TBTN15/UGA443.DOC")</f>
        <v>https://docs.wto.org/imrd/directdoc.asp?DDFDocuments/u/G/TBTN15/UGA443.DOC</v>
      </c>
      <c r="L430" s="2" t="str">
        <f>HYPERLINK("https://docs.wto.org/imrd/directdoc.asp?DDFDocuments/v/G/TBTN15/UGA443.DOC")</f>
        <v>https://docs.wto.org/imrd/directdoc.asp?DDFDocuments/v/G/TBTN15/UGA443.DOC</v>
      </c>
      <c r="M430" s="2" t="str">
        <f>HYPERLINK("http://www.epingalert.org/#/details/G/TBT/N/UGA/443")</f>
        <v>http://www.epingalert.org/#/details/G/TBT/N/UGA/443</v>
      </c>
      <c r="N430" s="2"/>
      <c r="O430" s="2"/>
    </row>
    <row r="431" spans="1:15" ht="120" outlineLevel="1" x14ac:dyDescent="0.25">
      <c r="A431" s="2" t="s">
        <v>312</v>
      </c>
      <c r="B431" s="4" t="s">
        <v>1785</v>
      </c>
      <c r="C431" s="2" t="s">
        <v>1786</v>
      </c>
      <c r="D431" s="2" t="s">
        <v>1787</v>
      </c>
      <c r="E431" s="3">
        <v>42012</v>
      </c>
      <c r="F431" s="2"/>
      <c r="G431" s="2" t="s">
        <v>1660</v>
      </c>
      <c r="H431" s="2" t="s">
        <v>198</v>
      </c>
      <c r="I431" s="3">
        <v>42072</v>
      </c>
      <c r="J431" s="2" t="str">
        <f>HYPERLINK("https://docs.wto.org/imrd/directdoc.asp?DDFDocuments/t/G/TBTN15/UGA442.DOC")</f>
        <v>https://docs.wto.org/imrd/directdoc.asp?DDFDocuments/t/G/TBTN15/UGA442.DOC</v>
      </c>
      <c r="K431" s="2" t="str">
        <f>HYPERLINK("https://docs.wto.org/imrd/directdoc.asp?DDFDocuments/u/G/TBTN15/UGA442.DOC")</f>
        <v>https://docs.wto.org/imrd/directdoc.asp?DDFDocuments/u/G/TBTN15/UGA442.DOC</v>
      </c>
      <c r="L431" s="2" t="str">
        <f>HYPERLINK("https://docs.wto.org/imrd/directdoc.asp?DDFDocuments/v/G/TBTN15/UGA442.DOC")</f>
        <v>https://docs.wto.org/imrd/directdoc.asp?DDFDocuments/v/G/TBTN15/UGA442.DOC</v>
      </c>
      <c r="M431" s="2" t="str">
        <f>HYPERLINK("http://www.epingalert.org/#/details/G/TBT/N/UGA/442")</f>
        <v>http://www.epingalert.org/#/details/G/TBT/N/UGA/442</v>
      </c>
      <c r="N431" s="2"/>
      <c r="O431" s="2"/>
    </row>
    <row r="432" spans="1:15" ht="120" outlineLevel="1" x14ac:dyDescent="0.25">
      <c r="A432" s="2" t="s">
        <v>312</v>
      </c>
      <c r="B432" s="4" t="s">
        <v>1788</v>
      </c>
      <c r="C432" s="2" t="s">
        <v>1789</v>
      </c>
      <c r="D432" s="2" t="s">
        <v>1790</v>
      </c>
      <c r="E432" s="3">
        <v>42012</v>
      </c>
      <c r="F432" s="2"/>
      <c r="G432" s="2" t="s">
        <v>1660</v>
      </c>
      <c r="H432" s="2" t="s">
        <v>198</v>
      </c>
      <c r="I432" s="3">
        <v>42072</v>
      </c>
      <c r="J432" s="2" t="str">
        <f>HYPERLINK("https://docs.wto.org/imrd/directdoc.asp?DDFDocuments/t/G/TBTN15/UGA441.DOC")</f>
        <v>https://docs.wto.org/imrd/directdoc.asp?DDFDocuments/t/G/TBTN15/UGA441.DOC</v>
      </c>
      <c r="K432" s="2" t="str">
        <f>HYPERLINK("https://docs.wto.org/imrd/directdoc.asp?DDFDocuments/u/G/TBTN15/UGA441.DOC")</f>
        <v>https://docs.wto.org/imrd/directdoc.asp?DDFDocuments/u/G/TBTN15/UGA441.DOC</v>
      </c>
      <c r="L432" s="2" t="str">
        <f>HYPERLINK("https://docs.wto.org/imrd/directdoc.asp?DDFDocuments/v/G/TBTN15/UGA441.DOC")</f>
        <v>https://docs.wto.org/imrd/directdoc.asp?DDFDocuments/v/G/TBTN15/UGA441.DOC</v>
      </c>
      <c r="M432" s="2" t="str">
        <f>HYPERLINK("http://www.epingalert.org/#/details/G/TBT/N/UGA/441")</f>
        <v>http://www.epingalert.org/#/details/G/TBT/N/UGA/441</v>
      </c>
      <c r="N432" s="2"/>
      <c r="O432" s="2"/>
    </row>
    <row r="433" spans="1:15" ht="120" outlineLevel="1" x14ac:dyDescent="0.25">
      <c r="A433" s="2" t="s">
        <v>312</v>
      </c>
      <c r="B433" s="4" t="s">
        <v>1791</v>
      </c>
      <c r="C433" s="2" t="s">
        <v>1792</v>
      </c>
      <c r="D433" s="2" t="s">
        <v>1793</v>
      </c>
      <c r="E433" s="3">
        <v>42012</v>
      </c>
      <c r="F433" s="2"/>
      <c r="G433" s="2" t="s">
        <v>1660</v>
      </c>
      <c r="H433" s="2" t="s">
        <v>198</v>
      </c>
      <c r="I433" s="3">
        <v>42072</v>
      </c>
      <c r="J433" s="2" t="str">
        <f>HYPERLINK("https://docs.wto.org/imrd/directdoc.asp?DDFDocuments/t/G/TBTN15/UGA440.DOC")</f>
        <v>https://docs.wto.org/imrd/directdoc.asp?DDFDocuments/t/G/TBTN15/UGA440.DOC</v>
      </c>
      <c r="K433" s="2" t="str">
        <f>HYPERLINK("https://docs.wto.org/imrd/directdoc.asp?DDFDocuments/u/G/TBTN15/UGA440.DOC")</f>
        <v>https://docs.wto.org/imrd/directdoc.asp?DDFDocuments/u/G/TBTN15/UGA440.DOC</v>
      </c>
      <c r="L433" s="2" t="str">
        <f>HYPERLINK("https://docs.wto.org/imrd/directdoc.asp?DDFDocuments/v/G/TBTN15/UGA440.DOC")</f>
        <v>https://docs.wto.org/imrd/directdoc.asp?DDFDocuments/v/G/TBTN15/UGA440.DOC</v>
      </c>
      <c r="M433" s="2" t="str">
        <f>HYPERLINK("http://www.epingalert.org/#/details/G/TBT/N/UGA/440")</f>
        <v>http://www.epingalert.org/#/details/G/TBT/N/UGA/440</v>
      </c>
      <c r="N433" s="2"/>
      <c r="O433" s="2"/>
    </row>
    <row r="434" spans="1:15" ht="120" outlineLevel="1" x14ac:dyDescent="0.25">
      <c r="A434" s="2" t="s">
        <v>312</v>
      </c>
      <c r="B434" s="4" t="s">
        <v>1794</v>
      </c>
      <c r="C434" s="2" t="s">
        <v>1795</v>
      </c>
      <c r="D434" s="2" t="s">
        <v>1796</v>
      </c>
      <c r="E434" s="3">
        <v>42012</v>
      </c>
      <c r="F434" s="2"/>
      <c r="G434" s="2" t="s">
        <v>1660</v>
      </c>
      <c r="H434" s="2" t="s">
        <v>198</v>
      </c>
      <c r="I434" s="3">
        <v>42072</v>
      </c>
      <c r="J434" s="2" t="str">
        <f>HYPERLINK("https://docs.wto.org/imrd/directdoc.asp?DDFDocuments/t/G/TBTN15/UGA439.DOC")</f>
        <v>https://docs.wto.org/imrd/directdoc.asp?DDFDocuments/t/G/TBTN15/UGA439.DOC</v>
      </c>
      <c r="K434" s="2" t="str">
        <f>HYPERLINK("https://docs.wto.org/imrd/directdoc.asp?DDFDocuments/u/G/TBTN15/UGA439.DOC")</f>
        <v>https://docs.wto.org/imrd/directdoc.asp?DDFDocuments/u/G/TBTN15/UGA439.DOC</v>
      </c>
      <c r="L434" s="2" t="str">
        <f>HYPERLINK("https://docs.wto.org/imrd/directdoc.asp?DDFDocuments/v/G/TBTN15/UGA439.DOC")</f>
        <v>https://docs.wto.org/imrd/directdoc.asp?DDFDocuments/v/G/TBTN15/UGA439.DOC</v>
      </c>
      <c r="M434" s="2" t="str">
        <f>HYPERLINK("http://www.epingalert.org/#/details/G/TBT/N/UGA/439")</f>
        <v>http://www.epingalert.org/#/details/G/TBT/N/UGA/439</v>
      </c>
      <c r="N434" s="2"/>
      <c r="O434" s="2"/>
    </row>
    <row r="435" spans="1:15" ht="120" outlineLevel="1" x14ac:dyDescent="0.25">
      <c r="A435" s="2" t="s">
        <v>312</v>
      </c>
      <c r="B435" s="4" t="s">
        <v>1797</v>
      </c>
      <c r="C435" s="2" t="s">
        <v>1798</v>
      </c>
      <c r="D435" s="2" t="s">
        <v>1799</v>
      </c>
      <c r="E435" s="3">
        <v>42012</v>
      </c>
      <c r="F435" s="2"/>
      <c r="G435" s="2" t="s">
        <v>1660</v>
      </c>
      <c r="H435" s="2" t="s">
        <v>198</v>
      </c>
      <c r="I435" s="3">
        <v>42072</v>
      </c>
      <c r="J435" s="2" t="str">
        <f>HYPERLINK("https://docs.wto.org/imrd/directdoc.asp?DDFDocuments/t/G/TBTN15/UGA438.DOC")</f>
        <v>https://docs.wto.org/imrd/directdoc.asp?DDFDocuments/t/G/TBTN15/UGA438.DOC</v>
      </c>
      <c r="K435" s="2" t="str">
        <f>HYPERLINK("https://docs.wto.org/imrd/directdoc.asp?DDFDocuments/u/G/TBTN15/UGA438.DOC")</f>
        <v>https://docs.wto.org/imrd/directdoc.asp?DDFDocuments/u/G/TBTN15/UGA438.DOC</v>
      </c>
      <c r="L435" s="2" t="str">
        <f>HYPERLINK("https://docs.wto.org/imrd/directdoc.asp?DDFDocuments/v/G/TBTN15/UGA438.DOC")</f>
        <v>https://docs.wto.org/imrd/directdoc.asp?DDFDocuments/v/G/TBTN15/UGA438.DOC</v>
      </c>
      <c r="M435" s="2" t="str">
        <f>HYPERLINK("http://www.epingalert.org/#/details/G/TBT/N/UGA/438")</f>
        <v>http://www.epingalert.org/#/details/G/TBT/N/UGA/438</v>
      </c>
      <c r="N435" s="2"/>
      <c r="O435" s="2"/>
    </row>
    <row r="436" spans="1:15" ht="120" outlineLevel="1" x14ac:dyDescent="0.25">
      <c r="A436" s="2" t="s">
        <v>312</v>
      </c>
      <c r="B436" s="4" t="s">
        <v>1800</v>
      </c>
      <c r="C436" s="2" t="s">
        <v>1801</v>
      </c>
      <c r="D436" s="2" t="s">
        <v>1802</v>
      </c>
      <c r="E436" s="3">
        <v>42012</v>
      </c>
      <c r="F436" s="2"/>
      <c r="G436" s="2" t="s">
        <v>1660</v>
      </c>
      <c r="H436" s="2" t="s">
        <v>198</v>
      </c>
      <c r="I436" s="3">
        <v>42072</v>
      </c>
      <c r="J436" s="2" t="str">
        <f>HYPERLINK("https://docs.wto.org/imrd/directdoc.asp?DDFDocuments/t/G/TBTN15/UGA437.DOC")</f>
        <v>https://docs.wto.org/imrd/directdoc.asp?DDFDocuments/t/G/TBTN15/UGA437.DOC</v>
      </c>
      <c r="K436" s="2" t="str">
        <f>HYPERLINK("https://docs.wto.org/imrd/directdoc.asp?DDFDocuments/u/G/TBTN15/UGA437.DOC")</f>
        <v>https://docs.wto.org/imrd/directdoc.asp?DDFDocuments/u/G/TBTN15/UGA437.DOC</v>
      </c>
      <c r="L436" s="2" t="str">
        <f>HYPERLINK("https://docs.wto.org/imrd/directdoc.asp?DDFDocuments/v/G/TBTN15/UGA437.DOC")</f>
        <v>https://docs.wto.org/imrd/directdoc.asp?DDFDocuments/v/G/TBTN15/UGA437.DOC</v>
      </c>
      <c r="M436" s="2" t="str">
        <f>HYPERLINK("http://www.epingalert.org/#/details/G/TBT/N/UGA/437")</f>
        <v>http://www.epingalert.org/#/details/G/TBT/N/UGA/437</v>
      </c>
      <c r="N436" s="2"/>
      <c r="O436" s="2"/>
    </row>
    <row r="437" spans="1:15" ht="120" outlineLevel="1" x14ac:dyDescent="0.25">
      <c r="A437" s="2" t="s">
        <v>312</v>
      </c>
      <c r="B437" s="4" t="s">
        <v>1803</v>
      </c>
      <c r="C437" s="2" t="s">
        <v>1804</v>
      </c>
      <c r="D437" s="2" t="s">
        <v>1805</v>
      </c>
      <c r="E437" s="3">
        <v>42012</v>
      </c>
      <c r="F437" s="2"/>
      <c r="G437" s="2" t="s">
        <v>1660</v>
      </c>
      <c r="H437" s="2" t="s">
        <v>198</v>
      </c>
      <c r="I437" s="3">
        <v>42072</v>
      </c>
      <c r="J437" s="2" t="str">
        <f>HYPERLINK("https://docs.wto.org/imrd/directdoc.asp?DDFDocuments/t/G/TBTN15/UGA436.DOC")</f>
        <v>https://docs.wto.org/imrd/directdoc.asp?DDFDocuments/t/G/TBTN15/UGA436.DOC</v>
      </c>
      <c r="K437" s="2" t="str">
        <f>HYPERLINK("https://docs.wto.org/imrd/directdoc.asp?DDFDocuments/u/G/TBTN15/UGA436.DOC")</f>
        <v>https://docs.wto.org/imrd/directdoc.asp?DDFDocuments/u/G/TBTN15/UGA436.DOC</v>
      </c>
      <c r="L437" s="2" t="str">
        <f>HYPERLINK("https://docs.wto.org/imrd/directdoc.asp?DDFDocuments/v/G/TBTN15/UGA436.DOC")</f>
        <v>https://docs.wto.org/imrd/directdoc.asp?DDFDocuments/v/G/TBTN15/UGA436.DOC</v>
      </c>
      <c r="M437" s="2" t="str">
        <f>HYPERLINK("http://www.epingalert.org/#/details/G/TBT/N/UGA/436")</f>
        <v>http://www.epingalert.org/#/details/G/TBT/N/UGA/436</v>
      </c>
      <c r="N437" s="2"/>
      <c r="O437" s="2"/>
    </row>
    <row r="438" spans="1:15" ht="120" outlineLevel="1" x14ac:dyDescent="0.25">
      <c r="A438" s="2" t="s">
        <v>312</v>
      </c>
      <c r="B438" s="4" t="s">
        <v>1806</v>
      </c>
      <c r="C438" s="2" t="s">
        <v>1807</v>
      </c>
      <c r="D438" s="2" t="s">
        <v>1808</v>
      </c>
      <c r="E438" s="3">
        <v>42012</v>
      </c>
      <c r="F438" s="2"/>
      <c r="G438" s="2" t="s">
        <v>1660</v>
      </c>
      <c r="H438" s="2" t="s">
        <v>198</v>
      </c>
      <c r="I438" s="3">
        <v>42072</v>
      </c>
      <c r="J438" s="2" t="str">
        <f>HYPERLINK("https://docs.wto.org/imrd/directdoc.asp?DDFDocuments/t/G/TBTN15/UGA435.DOC")</f>
        <v>https://docs.wto.org/imrd/directdoc.asp?DDFDocuments/t/G/TBTN15/UGA435.DOC</v>
      </c>
      <c r="K438" s="2" t="str">
        <f>HYPERLINK("https://docs.wto.org/imrd/directdoc.asp?DDFDocuments/u/G/TBTN15/UGA435.DOC")</f>
        <v>https://docs.wto.org/imrd/directdoc.asp?DDFDocuments/u/G/TBTN15/UGA435.DOC</v>
      </c>
      <c r="L438" s="2" t="str">
        <f>HYPERLINK("https://docs.wto.org/imrd/directdoc.asp?DDFDocuments/v/G/TBTN15/UGA435.DOC")</f>
        <v>https://docs.wto.org/imrd/directdoc.asp?DDFDocuments/v/G/TBTN15/UGA435.DOC</v>
      </c>
      <c r="M438" s="2" t="str">
        <f>HYPERLINK("http://www.epingalert.org/#/details/G/TBT/N/UGA/435")</f>
        <v>http://www.epingalert.org/#/details/G/TBT/N/UGA/435</v>
      </c>
      <c r="N438" s="2"/>
      <c r="O438" s="2"/>
    </row>
    <row r="439" spans="1:15" ht="120" outlineLevel="1" x14ac:dyDescent="0.25">
      <c r="A439" s="2" t="s">
        <v>312</v>
      </c>
      <c r="B439" s="4" t="s">
        <v>1809</v>
      </c>
      <c r="C439" s="2" t="s">
        <v>1810</v>
      </c>
      <c r="D439" s="2" t="s">
        <v>1811</v>
      </c>
      <c r="E439" s="3">
        <v>42012</v>
      </c>
      <c r="F439" s="2"/>
      <c r="G439" s="2" t="s">
        <v>1660</v>
      </c>
      <c r="H439" s="2" t="s">
        <v>198</v>
      </c>
      <c r="I439" s="3">
        <v>42072</v>
      </c>
      <c r="J439" s="2" t="str">
        <f>HYPERLINK("https://docs.wto.org/imrd/directdoc.asp?DDFDocuments/t/G/TBTN15/UGA434.DOC")</f>
        <v>https://docs.wto.org/imrd/directdoc.asp?DDFDocuments/t/G/TBTN15/UGA434.DOC</v>
      </c>
      <c r="K439" s="2" t="str">
        <f>HYPERLINK("https://docs.wto.org/imrd/directdoc.asp?DDFDocuments/u/G/TBTN15/UGA434.DOC")</f>
        <v>https://docs.wto.org/imrd/directdoc.asp?DDFDocuments/u/G/TBTN15/UGA434.DOC</v>
      </c>
      <c r="L439" s="2" t="str">
        <f>HYPERLINK("https://docs.wto.org/imrd/directdoc.asp?DDFDocuments/v/G/TBTN15/UGA434.DOC")</f>
        <v>https://docs.wto.org/imrd/directdoc.asp?DDFDocuments/v/G/TBTN15/UGA434.DOC</v>
      </c>
      <c r="M439" s="2" t="str">
        <f>HYPERLINK("http://www.epingalert.org/#/details/G/TBT/N/UGA/434")</f>
        <v>http://www.epingalert.org/#/details/G/TBT/N/UGA/434</v>
      </c>
      <c r="N439" s="2"/>
      <c r="O439" s="2"/>
    </row>
    <row r="440" spans="1:15" ht="120" outlineLevel="1" x14ac:dyDescent="0.25">
      <c r="A440" s="2" t="s">
        <v>184</v>
      </c>
      <c r="B440" s="4" t="s">
        <v>820</v>
      </c>
      <c r="C440" s="2" t="s">
        <v>821</v>
      </c>
      <c r="D440" s="2" t="s">
        <v>746</v>
      </c>
      <c r="E440" s="3">
        <v>42011</v>
      </c>
      <c r="F440" s="2"/>
      <c r="G440" s="2" t="s">
        <v>23</v>
      </c>
      <c r="H440" s="2" t="s">
        <v>30</v>
      </c>
      <c r="I440" s="3">
        <v>42071</v>
      </c>
      <c r="J440" s="2" t="str">
        <f>HYPERLINK("https://docs.wto.org/imrd/directdoc.asp?DDFDocuments/t/G/TBTN15/ARE249.DOC")</f>
        <v>https://docs.wto.org/imrd/directdoc.asp?DDFDocuments/t/G/TBTN15/ARE249.DOC</v>
      </c>
      <c r="K440" s="2" t="str">
        <f>HYPERLINK("https://docs.wto.org/imrd/directdoc.asp?DDFDocuments/u/G/TBTN15/ARE249.DOC")</f>
        <v>https://docs.wto.org/imrd/directdoc.asp?DDFDocuments/u/G/TBTN15/ARE249.DOC</v>
      </c>
      <c r="L440" s="2" t="str">
        <f>HYPERLINK("https://docs.wto.org/imrd/directdoc.asp?DDFDocuments/v/G/TBTN15/ARE249.DOC")</f>
        <v>https://docs.wto.org/imrd/directdoc.asp?DDFDocuments/v/G/TBTN15/ARE249.DOC</v>
      </c>
      <c r="M440" s="2" t="str">
        <f>HYPERLINK("http://www.epingalert.org/#/details/G/TBT/N/ARE/249")</f>
        <v>http://www.epingalert.org/#/details/G/TBT/N/ARE/249</v>
      </c>
      <c r="N440" s="2"/>
      <c r="O440" s="2"/>
    </row>
    <row r="441" spans="1:15" ht="120" outlineLevel="1" x14ac:dyDescent="0.25">
      <c r="A441" s="2" t="s">
        <v>184</v>
      </c>
      <c r="B441" s="4" t="s">
        <v>822</v>
      </c>
      <c r="C441" s="2" t="s">
        <v>823</v>
      </c>
      <c r="D441" s="2" t="s">
        <v>824</v>
      </c>
      <c r="E441" s="3">
        <v>42011</v>
      </c>
      <c r="F441" s="2"/>
      <c r="G441" s="2" t="s">
        <v>76</v>
      </c>
      <c r="H441" s="2" t="s">
        <v>198</v>
      </c>
      <c r="I441" s="3">
        <v>42071</v>
      </c>
      <c r="J441" s="2" t="str">
        <f>HYPERLINK("https://docs.wto.org/imrd/directdoc.asp?DDFDocuments/t/G/TBTN15/ARE248.DOC")</f>
        <v>https://docs.wto.org/imrd/directdoc.asp?DDFDocuments/t/G/TBTN15/ARE248.DOC</v>
      </c>
      <c r="K441" s="2" t="str">
        <f>HYPERLINK("https://docs.wto.org/imrd/directdoc.asp?DDFDocuments/u/G/TBTN15/ARE248.DOC")</f>
        <v>https://docs.wto.org/imrd/directdoc.asp?DDFDocuments/u/G/TBTN15/ARE248.DOC</v>
      </c>
      <c r="L441" s="2" t="str">
        <f>HYPERLINK("https://docs.wto.org/imrd/directdoc.asp?DDFDocuments/v/G/TBTN15/ARE248.DOC")</f>
        <v>https://docs.wto.org/imrd/directdoc.asp?DDFDocuments/v/G/TBTN15/ARE248.DOC</v>
      </c>
      <c r="M441" s="2" t="str">
        <f>HYPERLINK("http://www.epingalert.org/#/details/G/TBT/N/ARE/248")</f>
        <v>http://www.epingalert.org/#/details/G/TBT/N/ARE/248</v>
      </c>
      <c r="N441" s="2"/>
      <c r="O441" s="2"/>
    </row>
    <row r="442" spans="1:15" ht="105" outlineLevel="1" x14ac:dyDescent="0.25">
      <c r="A442" s="2" t="s">
        <v>173</v>
      </c>
      <c r="B442" s="4" t="s">
        <v>825</v>
      </c>
      <c r="C442" s="2" t="s">
        <v>826</v>
      </c>
      <c r="D442" s="2" t="s">
        <v>827</v>
      </c>
      <c r="E442" s="3">
        <v>42009</v>
      </c>
      <c r="F442" s="2" t="s">
        <v>828</v>
      </c>
      <c r="G442" s="2"/>
      <c r="H442" s="2" t="s">
        <v>17</v>
      </c>
      <c r="I442" s="3">
        <v>42069</v>
      </c>
      <c r="J442" s="2" t="str">
        <f>HYPERLINK("https://docs.wto.org/imrd/directdoc.asp?DDFDocuments/t/G/TBTN15/SAU829.DOC")</f>
        <v>https://docs.wto.org/imrd/directdoc.asp?DDFDocuments/t/G/TBTN15/SAU829.DOC</v>
      </c>
      <c r="K442" s="2" t="str">
        <f>HYPERLINK("https://docs.wto.org/imrd/directdoc.asp?DDFDocuments/u/G/TBTN15/SAU829.DOC")</f>
        <v>https://docs.wto.org/imrd/directdoc.asp?DDFDocuments/u/G/TBTN15/SAU829.DOC</v>
      </c>
      <c r="L442" s="2" t="str">
        <f>HYPERLINK("https://docs.wto.org/imrd/directdoc.asp?DDFDocuments/v/G/TBTN15/SAU829.DOC")</f>
        <v>https://docs.wto.org/imrd/directdoc.asp?DDFDocuments/v/G/TBTN15/SAU829.DOC</v>
      </c>
      <c r="M442" s="2" t="str">
        <f>HYPERLINK("http://www.epingalert.org/#/details/G/TBT/N/SAU/829")</f>
        <v>http://www.epingalert.org/#/details/G/TBT/N/SAU/829</v>
      </c>
      <c r="N442" s="2"/>
      <c r="O442" s="2"/>
    </row>
    <row r="443" spans="1:15" ht="75" outlineLevel="1" x14ac:dyDescent="0.25">
      <c r="A443" s="2" t="s">
        <v>173</v>
      </c>
      <c r="B443" s="4" t="s">
        <v>1548</v>
      </c>
      <c r="C443" s="2" t="s">
        <v>1549</v>
      </c>
      <c r="D443" s="2" t="s">
        <v>1550</v>
      </c>
      <c r="E443" s="3">
        <v>42009</v>
      </c>
      <c r="F443" s="2" t="s">
        <v>1551</v>
      </c>
      <c r="G443" s="2"/>
      <c r="H443" s="2" t="s">
        <v>17</v>
      </c>
      <c r="I443" s="3">
        <v>42069</v>
      </c>
      <c r="J443" s="2" t="str">
        <f>HYPERLINK("https://docs.wto.org/imrd/directdoc.asp?DDFDocuments/t/G/TBTN15/SAU828.DOC")</f>
        <v>https://docs.wto.org/imrd/directdoc.asp?DDFDocuments/t/G/TBTN15/SAU828.DOC</v>
      </c>
      <c r="K443" s="2" t="str">
        <f>HYPERLINK("https://docs.wto.org/imrd/directdoc.asp?DDFDocuments/u/G/TBTN15/SAU828.DOC")</f>
        <v>https://docs.wto.org/imrd/directdoc.asp?DDFDocuments/u/G/TBTN15/SAU828.DOC</v>
      </c>
      <c r="L443" s="2" t="str">
        <f>HYPERLINK("https://docs.wto.org/imrd/directdoc.asp?DDFDocuments/v/G/TBTN15/SAU828.DOC")</f>
        <v>https://docs.wto.org/imrd/directdoc.asp?DDFDocuments/v/G/TBTN15/SAU828.DOC</v>
      </c>
      <c r="M443" s="2" t="str">
        <f>HYPERLINK("http://www.epingalert.org/#/details/G/TBT/N/SAU/828")</f>
        <v>http://www.epingalert.org/#/details/G/TBT/N/SAU/828</v>
      </c>
      <c r="N443" s="2"/>
      <c r="O443" s="2"/>
    </row>
    <row r="444" spans="1:15" ht="375" outlineLevel="1" x14ac:dyDescent="0.25">
      <c r="A444" s="2" t="s">
        <v>18</v>
      </c>
      <c r="B444" s="4" t="s">
        <v>829</v>
      </c>
      <c r="C444" s="2" t="s">
        <v>830</v>
      </c>
      <c r="D444" s="2" t="s">
        <v>831</v>
      </c>
      <c r="E444" s="3">
        <v>41995</v>
      </c>
      <c r="F444" s="2" t="s">
        <v>832</v>
      </c>
      <c r="G444" s="2" t="s">
        <v>23</v>
      </c>
      <c r="H444" s="2" t="s">
        <v>24</v>
      </c>
      <c r="I444" s="3">
        <v>42019</v>
      </c>
      <c r="J444" s="2" t="str">
        <f>HYPERLINK("https://docs.wto.org/imrd/directdoc.asp?DDFDocuments/t/G/TBTN14/USA941.DOC")</f>
        <v>https://docs.wto.org/imrd/directdoc.asp?DDFDocuments/t/G/TBTN14/USA941.DOC</v>
      </c>
      <c r="K444" s="2" t="str">
        <f>HYPERLINK("https://docs.wto.org/imrd/directdoc.asp?DDFDocuments/u/G/TBTN14/USA941.DOC")</f>
        <v>https://docs.wto.org/imrd/directdoc.asp?DDFDocuments/u/G/TBTN14/USA941.DOC</v>
      </c>
      <c r="L444" s="2" t="str">
        <f>HYPERLINK("https://docs.wto.org/imrd/directdoc.asp?DDFDocuments/v/G/TBTN14/USA941.DOC")</f>
        <v>https://docs.wto.org/imrd/directdoc.asp?DDFDocuments/v/G/TBTN14/USA941.DOC</v>
      </c>
      <c r="M444" s="2" t="str">
        <f>HYPERLINK("http://www.epingalert.org/#/details/G/TBT/N/USA/941")</f>
        <v>http://www.epingalert.org/#/details/G/TBT/N/USA/941</v>
      </c>
      <c r="N444" s="2"/>
      <c r="O444" s="2"/>
    </row>
    <row r="445" spans="1:15" ht="90" outlineLevel="1" x14ac:dyDescent="0.25">
      <c r="A445" s="2" t="s">
        <v>173</v>
      </c>
      <c r="B445" s="4" t="s">
        <v>833</v>
      </c>
      <c r="C445" s="2" t="s">
        <v>834</v>
      </c>
      <c r="D445" s="2" t="s">
        <v>835</v>
      </c>
      <c r="E445" s="3">
        <v>41992</v>
      </c>
      <c r="F445" s="2" t="s">
        <v>836</v>
      </c>
      <c r="G445" s="2"/>
      <c r="H445" s="2" t="s">
        <v>17</v>
      </c>
      <c r="I445" s="3">
        <v>42052</v>
      </c>
      <c r="J445" s="2" t="str">
        <f>HYPERLINK("https://docs.wto.org/imrd/directdoc.asp?DDFDocuments/t/G/TBTN14/SAU822.DOC")</f>
        <v>https://docs.wto.org/imrd/directdoc.asp?DDFDocuments/t/G/TBTN14/SAU822.DOC</v>
      </c>
      <c r="K445" s="2" t="str">
        <f>HYPERLINK("https://docs.wto.org/imrd/directdoc.asp?DDFDocuments/u/G/TBTN14/SAU822.DOC")</f>
        <v>https://docs.wto.org/imrd/directdoc.asp?DDFDocuments/u/G/TBTN14/SAU822.DOC</v>
      </c>
      <c r="L445" s="2" t="str">
        <f>HYPERLINK("https://docs.wto.org/imrd/directdoc.asp?DDFDocuments/v/G/TBTN14/SAU822.DOC")</f>
        <v>https://docs.wto.org/imrd/directdoc.asp?DDFDocuments/v/G/TBTN14/SAU822.DOC</v>
      </c>
      <c r="M445" s="2" t="str">
        <f>HYPERLINK("http://www.epingalert.org/#/details/G/TBT/N/SAU/822")</f>
        <v>http://www.epingalert.org/#/details/G/TBT/N/SAU/822</v>
      </c>
      <c r="N445" s="2"/>
      <c r="O445" s="2"/>
    </row>
    <row r="446" spans="1:15" ht="120" outlineLevel="1" x14ac:dyDescent="0.25">
      <c r="A446" s="2" t="s">
        <v>178</v>
      </c>
      <c r="B446" s="4" t="s">
        <v>837</v>
      </c>
      <c r="C446" s="2" t="s">
        <v>784</v>
      </c>
      <c r="D446" s="2" t="s">
        <v>838</v>
      </c>
      <c r="E446" s="3">
        <v>41990</v>
      </c>
      <c r="F446" s="2" t="s">
        <v>743</v>
      </c>
      <c r="G446" s="2"/>
      <c r="H446" s="2" t="s">
        <v>198</v>
      </c>
      <c r="I446" s="3">
        <v>42050</v>
      </c>
      <c r="J446" s="2" t="str">
        <f>HYPERLINK("https://docs.wto.org/imrd/directdoc.asp?DDFDocuments/t/G/TBTN14/QAT370.DOC")</f>
        <v>https://docs.wto.org/imrd/directdoc.asp?DDFDocuments/t/G/TBTN14/QAT370.DOC</v>
      </c>
      <c r="K446" s="2" t="str">
        <f>HYPERLINK("https://docs.wto.org/imrd/directdoc.asp?DDFDocuments/u/G/TBTN14/QAT370.DOC")</f>
        <v>https://docs.wto.org/imrd/directdoc.asp?DDFDocuments/u/G/TBTN14/QAT370.DOC</v>
      </c>
      <c r="L446" s="2" t="str">
        <f>HYPERLINK("https://docs.wto.org/imrd/directdoc.asp?DDFDocuments/v/G/TBTN14/QAT370.DOC")</f>
        <v>https://docs.wto.org/imrd/directdoc.asp?DDFDocuments/v/G/TBTN14/QAT370.DOC</v>
      </c>
      <c r="M446" s="2" t="str">
        <f>HYPERLINK("http://www.epingalert.org/#/details/G/TBT/N/QAT/370")</f>
        <v>http://www.epingalert.org/#/details/G/TBT/N/QAT/370</v>
      </c>
      <c r="N446" s="2"/>
      <c r="O446" s="2"/>
    </row>
    <row r="447" spans="1:15" ht="75" outlineLevel="1" x14ac:dyDescent="0.25">
      <c r="A447" s="2" t="s">
        <v>178</v>
      </c>
      <c r="B447" s="4" t="s">
        <v>839</v>
      </c>
      <c r="C447" s="2" t="s">
        <v>840</v>
      </c>
      <c r="D447" s="2" t="s">
        <v>841</v>
      </c>
      <c r="E447" s="3">
        <v>41990</v>
      </c>
      <c r="F447" s="2" t="s">
        <v>842</v>
      </c>
      <c r="G447" s="2"/>
      <c r="H447" s="2" t="s">
        <v>17</v>
      </c>
      <c r="I447" s="3">
        <v>42050</v>
      </c>
      <c r="J447" s="2" t="str">
        <f>HYPERLINK("https://docs.wto.org/imrd/directdoc.asp?DDFDocuments/t/G/TBTN14/QAT369.DOC")</f>
        <v>https://docs.wto.org/imrd/directdoc.asp?DDFDocuments/t/G/TBTN14/QAT369.DOC</v>
      </c>
      <c r="K447" s="2" t="str">
        <f>HYPERLINK("https://docs.wto.org/imrd/directdoc.asp?DDFDocuments/u/G/TBTN14/QAT369.DOC")</f>
        <v>https://docs.wto.org/imrd/directdoc.asp?DDFDocuments/u/G/TBTN14/QAT369.DOC</v>
      </c>
      <c r="L447" s="2" t="str">
        <f>HYPERLINK("https://docs.wto.org/imrd/directdoc.asp?DDFDocuments/v/G/TBTN14/QAT369.DOC")</f>
        <v>https://docs.wto.org/imrd/directdoc.asp?DDFDocuments/v/G/TBTN14/QAT369.DOC</v>
      </c>
      <c r="M447" s="2" t="str">
        <f>HYPERLINK("http://www.epingalert.org/#/details/G/TBT/N/QAT/369")</f>
        <v>http://www.epingalert.org/#/details/G/TBT/N/QAT/369</v>
      </c>
      <c r="N447" s="2"/>
      <c r="O447" s="2"/>
    </row>
    <row r="448" spans="1:15" ht="120" outlineLevel="1" x14ac:dyDescent="0.25">
      <c r="A448" s="2" t="s">
        <v>178</v>
      </c>
      <c r="B448" s="4" t="s">
        <v>843</v>
      </c>
      <c r="C448" s="2" t="s">
        <v>844</v>
      </c>
      <c r="D448" s="2" t="s">
        <v>746</v>
      </c>
      <c r="E448" s="3">
        <v>41990</v>
      </c>
      <c r="F448" s="2" t="s">
        <v>747</v>
      </c>
      <c r="G448" s="2"/>
      <c r="H448" s="2" t="s">
        <v>17</v>
      </c>
      <c r="I448" s="3">
        <v>42050</v>
      </c>
      <c r="J448" s="2" t="str">
        <f>HYPERLINK("https://docs.wto.org/imrd/directdoc.asp?DDFDocuments/t/G/TBTN14/QAT368.DOC")</f>
        <v>https://docs.wto.org/imrd/directdoc.asp?DDFDocuments/t/G/TBTN14/QAT368.DOC</v>
      </c>
      <c r="K448" s="2" t="str">
        <f>HYPERLINK("https://docs.wto.org/imrd/directdoc.asp?DDFDocuments/u/G/TBTN14/QAT368.DOC")</f>
        <v>https://docs.wto.org/imrd/directdoc.asp?DDFDocuments/u/G/TBTN14/QAT368.DOC</v>
      </c>
      <c r="L448" s="2" t="str">
        <f>HYPERLINK("https://docs.wto.org/imrd/directdoc.asp?DDFDocuments/v/G/TBTN14/QAT368.DOC")</f>
        <v>https://docs.wto.org/imrd/directdoc.asp?DDFDocuments/v/G/TBTN14/QAT368.DOC</v>
      </c>
      <c r="M448" s="2" t="str">
        <f>HYPERLINK("http://www.epingalert.org/#/details/G/TBT/N/QAT/368")</f>
        <v>http://www.epingalert.org/#/details/G/TBT/N/QAT/368</v>
      </c>
      <c r="N448" s="2"/>
      <c r="O448" s="2"/>
    </row>
    <row r="449" spans="1:15" ht="60" outlineLevel="1" x14ac:dyDescent="0.25">
      <c r="A449" s="2" t="s">
        <v>178</v>
      </c>
      <c r="B449" s="4" t="s">
        <v>845</v>
      </c>
      <c r="C449" s="2" t="s">
        <v>846</v>
      </c>
      <c r="D449" s="2" t="s">
        <v>847</v>
      </c>
      <c r="E449" s="3">
        <v>41990</v>
      </c>
      <c r="F449" s="2" t="s">
        <v>848</v>
      </c>
      <c r="G449" s="2"/>
      <c r="H449" s="2" t="s">
        <v>17</v>
      </c>
      <c r="I449" s="3">
        <v>42050</v>
      </c>
      <c r="J449" s="2" t="str">
        <f>HYPERLINK("https://docs.wto.org/imrd/directdoc.asp?DDFDocuments/t/G/TBTN14/QAT367.DOC")</f>
        <v>https://docs.wto.org/imrd/directdoc.asp?DDFDocuments/t/G/TBTN14/QAT367.DOC</v>
      </c>
      <c r="K449" s="2" t="str">
        <f>HYPERLINK("https://docs.wto.org/imrd/directdoc.asp?DDFDocuments/u/G/TBTN14/QAT367.DOC")</f>
        <v>https://docs.wto.org/imrd/directdoc.asp?DDFDocuments/u/G/TBTN14/QAT367.DOC</v>
      </c>
      <c r="L449" s="2" t="str">
        <f>HYPERLINK("https://docs.wto.org/imrd/directdoc.asp?DDFDocuments/v/G/TBTN14/QAT367.DOC")</f>
        <v>https://docs.wto.org/imrd/directdoc.asp?DDFDocuments/v/G/TBTN14/QAT367.DOC</v>
      </c>
      <c r="M449" s="2" t="str">
        <f>HYPERLINK("http://www.epingalert.org/#/details/G/TBT/N/QAT/367")</f>
        <v>http://www.epingalert.org/#/details/G/TBT/N/QAT/367</v>
      </c>
      <c r="N449" s="2"/>
      <c r="O449" s="2"/>
    </row>
    <row r="450" spans="1:15" ht="60" outlineLevel="1" x14ac:dyDescent="0.25">
      <c r="A450" s="2" t="s">
        <v>178</v>
      </c>
      <c r="B450" s="4" t="s">
        <v>849</v>
      </c>
      <c r="C450" s="2" t="s">
        <v>850</v>
      </c>
      <c r="D450" s="2" t="s">
        <v>851</v>
      </c>
      <c r="E450" s="3">
        <v>41990</v>
      </c>
      <c r="F450" s="2" t="s">
        <v>739</v>
      </c>
      <c r="G450" s="2"/>
      <c r="H450" s="2" t="s">
        <v>17</v>
      </c>
      <c r="I450" s="3">
        <v>42050</v>
      </c>
      <c r="J450" s="2" t="str">
        <f>HYPERLINK("https://docs.wto.org/imrd/directdoc.asp?DDFDocuments/t/G/TBTN14/QAT366.DOC")</f>
        <v>https://docs.wto.org/imrd/directdoc.asp?DDFDocuments/t/G/TBTN14/QAT366.DOC</v>
      </c>
      <c r="K450" s="2" t="str">
        <f>HYPERLINK("https://docs.wto.org/imrd/directdoc.asp?DDFDocuments/u/G/TBTN14/QAT366.DOC")</f>
        <v>https://docs.wto.org/imrd/directdoc.asp?DDFDocuments/u/G/TBTN14/QAT366.DOC</v>
      </c>
      <c r="L450" s="2" t="str">
        <f>HYPERLINK("https://docs.wto.org/imrd/directdoc.asp?DDFDocuments/v/G/TBTN14/QAT366.DOC")</f>
        <v>https://docs.wto.org/imrd/directdoc.asp?DDFDocuments/v/G/TBTN14/QAT366.DOC</v>
      </c>
      <c r="M450" s="2" t="str">
        <f>HYPERLINK("http://www.epingalert.org/#/details/G/TBT/N/QAT/366")</f>
        <v>http://www.epingalert.org/#/details/G/TBT/N/QAT/366</v>
      </c>
      <c r="N450" s="2"/>
      <c r="O450" s="2"/>
    </row>
    <row r="451" spans="1:15" ht="60" outlineLevel="1" x14ac:dyDescent="0.25">
      <c r="A451" s="2" t="s">
        <v>1129</v>
      </c>
      <c r="B451" s="4" t="s">
        <v>2216</v>
      </c>
      <c r="C451" s="2" t="s">
        <v>2217</v>
      </c>
      <c r="D451" s="2" t="s">
        <v>2218</v>
      </c>
      <c r="E451" s="3">
        <v>41990</v>
      </c>
      <c r="F451" s="2"/>
      <c r="G451" s="2" t="s">
        <v>2219</v>
      </c>
      <c r="H451" s="2" t="s">
        <v>127</v>
      </c>
      <c r="I451" s="3">
        <v>42029</v>
      </c>
      <c r="J451" s="2" t="str">
        <f>HYPERLINK("https://docs.wto.org/imrd/directdoc.asp?DDFDocuments/t/G/TBTN14/KEN441.DOC")</f>
        <v>https://docs.wto.org/imrd/directdoc.asp?DDFDocuments/t/G/TBTN14/KEN441.DOC</v>
      </c>
      <c r="K451" s="2" t="str">
        <f>HYPERLINK("https://docs.wto.org/imrd/directdoc.asp?DDFDocuments/u/G/TBTN14/KEN441.DOC")</f>
        <v>https://docs.wto.org/imrd/directdoc.asp?DDFDocuments/u/G/TBTN14/KEN441.DOC</v>
      </c>
      <c r="L451" s="2" t="str">
        <f>HYPERLINK("https://docs.wto.org/imrd/directdoc.asp?DDFDocuments/v/G/TBTN14/KEN441.DOC")</f>
        <v>https://docs.wto.org/imrd/directdoc.asp?DDFDocuments/v/G/TBTN14/KEN441.DOC</v>
      </c>
      <c r="M451" s="2" t="str">
        <f>HYPERLINK("http://www.epingalert.org/#/details/G/TBT/N/KEN/441")</f>
        <v>http://www.epingalert.org/#/details/G/TBT/N/KEN/441</v>
      </c>
      <c r="N451" s="2"/>
      <c r="O451" s="2"/>
    </row>
    <row r="452" spans="1:15" ht="120" outlineLevel="1" x14ac:dyDescent="0.25">
      <c r="A452" s="2" t="s">
        <v>1129</v>
      </c>
      <c r="B452" s="4" t="s">
        <v>2220</v>
      </c>
      <c r="C452" s="2" t="s">
        <v>2221</v>
      </c>
      <c r="D452" s="2" t="s">
        <v>2222</v>
      </c>
      <c r="E452" s="3">
        <v>41990</v>
      </c>
      <c r="F452" s="2"/>
      <c r="G452" s="2" t="s">
        <v>2223</v>
      </c>
      <c r="H452" s="2" t="s">
        <v>198</v>
      </c>
      <c r="I452" s="3">
        <v>42029</v>
      </c>
      <c r="J452" s="2" t="str">
        <f>HYPERLINK("https://docs.wto.org/imrd/directdoc.asp?DDFDocuments/t/G/TBTN14/KEN440.DOC")</f>
        <v>https://docs.wto.org/imrd/directdoc.asp?DDFDocuments/t/G/TBTN14/KEN440.DOC</v>
      </c>
      <c r="K452" s="2" t="str">
        <f>HYPERLINK("https://docs.wto.org/imrd/directdoc.asp?DDFDocuments/u/G/TBTN14/KEN440.DOC")</f>
        <v>https://docs.wto.org/imrd/directdoc.asp?DDFDocuments/u/G/TBTN14/KEN440.DOC</v>
      </c>
      <c r="L452" s="2" t="str">
        <f>HYPERLINK("https://docs.wto.org/imrd/directdoc.asp?DDFDocuments/v/G/TBTN14/KEN440.DOC")</f>
        <v>https://docs.wto.org/imrd/directdoc.asp?DDFDocuments/v/G/TBTN14/KEN440.DOC</v>
      </c>
      <c r="M452" s="2" t="str">
        <f>HYPERLINK("http://www.epingalert.org/#/details/G/TBT/N/KEN/440")</f>
        <v>http://www.epingalert.org/#/details/G/TBT/N/KEN/440</v>
      </c>
      <c r="N452" s="2"/>
      <c r="O452" s="2"/>
    </row>
    <row r="453" spans="1:15" ht="120" outlineLevel="1" x14ac:dyDescent="0.25">
      <c r="A453" s="2" t="s">
        <v>1129</v>
      </c>
      <c r="B453" s="4" t="s">
        <v>2224</v>
      </c>
      <c r="C453" s="2" t="s">
        <v>2225</v>
      </c>
      <c r="D453" s="2" t="s">
        <v>2226</v>
      </c>
      <c r="E453" s="3">
        <v>41990</v>
      </c>
      <c r="F453" s="2"/>
      <c r="G453" s="2" t="s">
        <v>2227</v>
      </c>
      <c r="H453" s="2" t="s">
        <v>198</v>
      </c>
      <c r="I453" s="3">
        <v>42029</v>
      </c>
      <c r="J453" s="2" t="str">
        <f>HYPERLINK("https://docs.wto.org/imrd/directdoc.asp?DDFDocuments/t/G/TBTN14/KEN439.DOC")</f>
        <v>https://docs.wto.org/imrd/directdoc.asp?DDFDocuments/t/G/TBTN14/KEN439.DOC</v>
      </c>
      <c r="K453" s="2" t="str">
        <f>HYPERLINK("https://docs.wto.org/imrd/directdoc.asp?DDFDocuments/u/G/TBTN14/KEN439.DOC")</f>
        <v>https://docs.wto.org/imrd/directdoc.asp?DDFDocuments/u/G/TBTN14/KEN439.DOC</v>
      </c>
      <c r="L453" s="2" t="str">
        <f>HYPERLINK("https://docs.wto.org/imrd/directdoc.asp?DDFDocuments/v/G/TBTN14/KEN439.DOC")</f>
        <v>https://docs.wto.org/imrd/directdoc.asp?DDFDocuments/v/G/TBTN14/KEN439.DOC</v>
      </c>
      <c r="M453" s="2" t="str">
        <f>HYPERLINK("http://www.epingalert.org/#/details/G/TBT/N/KEN/439")</f>
        <v>http://www.epingalert.org/#/details/G/TBT/N/KEN/439</v>
      </c>
      <c r="N453" s="2"/>
      <c r="O453" s="2"/>
    </row>
    <row r="454" spans="1:15" ht="180" outlineLevel="1" x14ac:dyDescent="0.25">
      <c r="A454" s="2" t="s">
        <v>18</v>
      </c>
      <c r="B454" s="4" t="s">
        <v>852</v>
      </c>
      <c r="C454" s="2" t="s">
        <v>20</v>
      </c>
      <c r="D454" s="2" t="s">
        <v>853</v>
      </c>
      <c r="E454" s="3">
        <v>41988</v>
      </c>
      <c r="F454" s="2" t="s">
        <v>22</v>
      </c>
      <c r="G454" s="2" t="s">
        <v>23</v>
      </c>
      <c r="H454" s="2" t="s">
        <v>17</v>
      </c>
      <c r="I454" s="3">
        <v>42044</v>
      </c>
      <c r="J454" s="2" t="str">
        <f>HYPERLINK("https://docs.wto.org/imrd/directdoc.asp?DDFDocuments/t/G/TBTN14/USA940.DOC")</f>
        <v>https://docs.wto.org/imrd/directdoc.asp?DDFDocuments/t/G/TBTN14/USA940.DOC</v>
      </c>
      <c r="K454" s="2" t="str">
        <f>HYPERLINK("https://docs.wto.org/imrd/directdoc.asp?DDFDocuments/u/G/TBTN14/USA940.DOC")</f>
        <v>https://docs.wto.org/imrd/directdoc.asp?DDFDocuments/u/G/TBTN14/USA940.DOC</v>
      </c>
      <c r="L454" s="2" t="str">
        <f>HYPERLINK("https://docs.wto.org/imrd/directdoc.asp?DDFDocuments/v/G/TBTN14/USA940.DOC")</f>
        <v>https://docs.wto.org/imrd/directdoc.asp?DDFDocuments/v/G/TBTN14/USA940.DOC</v>
      </c>
      <c r="M454" s="2" t="str">
        <f>HYPERLINK("http://www.epingalert.org/#/details/G/TBT/N/USA/940")</f>
        <v>http://www.epingalert.org/#/details/G/TBT/N/USA/940</v>
      </c>
      <c r="N454" s="2"/>
      <c r="O454" s="2"/>
    </row>
    <row r="455" spans="1:15" ht="120" outlineLevel="1" x14ac:dyDescent="0.25">
      <c r="A455" s="2" t="s">
        <v>179</v>
      </c>
      <c r="B455" s="4" t="s">
        <v>854</v>
      </c>
      <c r="C455" s="2" t="s">
        <v>855</v>
      </c>
      <c r="D455" s="2" t="s">
        <v>856</v>
      </c>
      <c r="E455" s="3">
        <v>41985</v>
      </c>
      <c r="F455" s="2" t="s">
        <v>857</v>
      </c>
      <c r="G455" s="2"/>
      <c r="H455" s="2" t="s">
        <v>17</v>
      </c>
      <c r="I455" s="3">
        <v>42045</v>
      </c>
      <c r="J455" s="2" t="str">
        <f>HYPERLINK("https://docs.wto.org/imrd/directdoc.asp?DDFDocuments/t/G/TBTN14/OMN194.DOC")</f>
        <v>https://docs.wto.org/imrd/directdoc.asp?DDFDocuments/t/G/TBTN14/OMN194.DOC</v>
      </c>
      <c r="K455" s="2" t="str">
        <f>HYPERLINK("https://docs.wto.org/imrd/directdoc.asp?DDFDocuments/u/G/TBTN14/OMN194.DOC")</f>
        <v>https://docs.wto.org/imrd/directdoc.asp?DDFDocuments/u/G/TBTN14/OMN194.DOC</v>
      </c>
      <c r="L455" s="2" t="str">
        <f>HYPERLINK("https://docs.wto.org/imrd/directdoc.asp?DDFDocuments/v/G/TBTN14/OMN194.DOC")</f>
        <v>https://docs.wto.org/imrd/directdoc.asp?DDFDocuments/v/G/TBTN14/OMN194.DOC</v>
      </c>
      <c r="M455" s="2" t="str">
        <f>HYPERLINK("http://www.epingalert.org/#/details/G/TBT/N/OMN/194")</f>
        <v>http://www.epingalert.org/#/details/G/TBT/N/OMN/194</v>
      </c>
      <c r="N455" s="2"/>
      <c r="O455" s="2"/>
    </row>
    <row r="456" spans="1:15" ht="75" outlineLevel="1" x14ac:dyDescent="0.25">
      <c r="A456" s="2" t="s">
        <v>42</v>
      </c>
      <c r="B456" s="4" t="s">
        <v>2228</v>
      </c>
      <c r="C456" s="2" t="s">
        <v>2229</v>
      </c>
      <c r="D456" s="2" t="s">
        <v>2230</v>
      </c>
      <c r="E456" s="3">
        <v>41985</v>
      </c>
      <c r="F456" s="2" t="s">
        <v>2078</v>
      </c>
      <c r="G456" s="2" t="s">
        <v>2231</v>
      </c>
      <c r="H456" s="2" t="s">
        <v>699</v>
      </c>
      <c r="I456" s="3">
        <v>42031</v>
      </c>
      <c r="J456" s="2" t="str">
        <f>HYPERLINK("https://docs.wto.org/imrd/directdoc.asp?DDFDocuments/t/G/TBTN14/BRA613.DOC")</f>
        <v>https://docs.wto.org/imrd/directdoc.asp?DDFDocuments/t/G/TBTN14/BRA613.DOC</v>
      </c>
      <c r="K456" s="2" t="str">
        <f>HYPERLINK("https://docs.wto.org/imrd/directdoc.asp?DDFDocuments/u/G/TBTN14/BRA613.DOC")</f>
        <v>https://docs.wto.org/imrd/directdoc.asp?DDFDocuments/u/G/TBTN14/BRA613.DOC</v>
      </c>
      <c r="L456" s="2" t="str">
        <f>HYPERLINK("https://docs.wto.org/imrd/directdoc.asp?DDFDocuments/v/G/TBTN14/BRA613.DOC")</f>
        <v>https://docs.wto.org/imrd/directdoc.asp?DDFDocuments/v/G/TBTN14/BRA613.DOC</v>
      </c>
      <c r="M456" s="2" t="str">
        <f>HYPERLINK("http://www.epingalert.org/#/details/G/TBT/N/BRA/613")</f>
        <v>http://www.epingalert.org/#/details/G/TBT/N/BRA/613</v>
      </c>
      <c r="N456" s="2"/>
      <c r="O456" s="2"/>
    </row>
    <row r="457" spans="1:15" ht="120" outlineLevel="1" x14ac:dyDescent="0.25">
      <c r="A457" s="2" t="s">
        <v>180</v>
      </c>
      <c r="B457" s="4" t="s">
        <v>858</v>
      </c>
      <c r="C457" s="2" t="s">
        <v>859</v>
      </c>
      <c r="D457" s="2" t="s">
        <v>746</v>
      </c>
      <c r="E457" s="3">
        <v>41984</v>
      </c>
      <c r="F457" s="2" t="s">
        <v>860</v>
      </c>
      <c r="G457" s="2"/>
      <c r="H457" s="2" t="s">
        <v>17</v>
      </c>
      <c r="I457" s="3">
        <v>42044</v>
      </c>
      <c r="J457" s="2" t="str">
        <f>HYPERLINK("https://docs.wto.org/imrd/directdoc.asp?DDFDocuments/t/G/TBTN14/KWT255.DOC")</f>
        <v>https://docs.wto.org/imrd/directdoc.asp?DDFDocuments/t/G/TBTN14/KWT255.DOC</v>
      </c>
      <c r="K457" s="2" t="str">
        <f>HYPERLINK("https://docs.wto.org/imrd/directdoc.asp?DDFDocuments/u/G/TBTN14/KWT255.DOC")</f>
        <v>https://docs.wto.org/imrd/directdoc.asp?DDFDocuments/u/G/TBTN14/KWT255.DOC</v>
      </c>
      <c r="L457" s="2" t="str">
        <f>HYPERLINK("https://docs.wto.org/imrd/directdoc.asp?DDFDocuments/v/G/TBTN14/KWT255.DOC")</f>
        <v>https://docs.wto.org/imrd/directdoc.asp?DDFDocuments/v/G/TBTN14/KWT255.DOC</v>
      </c>
      <c r="M457" s="2" t="str">
        <f>HYPERLINK("http://www.epingalert.org/#/details/G/TBT/N/KWT/255")</f>
        <v>http://www.epingalert.org/#/details/G/TBT/N/KWT/255</v>
      </c>
      <c r="N457" s="2"/>
      <c r="O457" s="2"/>
    </row>
    <row r="458" spans="1:15" ht="120" outlineLevel="1" x14ac:dyDescent="0.25">
      <c r="A458" s="2" t="s">
        <v>179</v>
      </c>
      <c r="B458" s="4" t="s">
        <v>861</v>
      </c>
      <c r="C458" s="2" t="s">
        <v>862</v>
      </c>
      <c r="D458" s="2" t="s">
        <v>863</v>
      </c>
      <c r="E458" s="3">
        <v>41982</v>
      </c>
      <c r="F458" s="2" t="s">
        <v>743</v>
      </c>
      <c r="G458" s="2"/>
      <c r="H458" s="2" t="s">
        <v>17</v>
      </c>
      <c r="I458" s="3">
        <v>42042</v>
      </c>
      <c r="J458" s="2" t="str">
        <f>HYPERLINK("https://docs.wto.org/imrd/directdoc.asp?DDFDocuments/t/G/TBTN14/OMN193.DOC")</f>
        <v>https://docs.wto.org/imrd/directdoc.asp?DDFDocuments/t/G/TBTN14/OMN193.DOC</v>
      </c>
      <c r="K458" s="2" t="str">
        <f>HYPERLINK("https://docs.wto.org/imrd/directdoc.asp?DDFDocuments/u/G/TBTN14/OMN193.DOC")</f>
        <v>https://docs.wto.org/imrd/directdoc.asp?DDFDocuments/u/G/TBTN14/OMN193.DOC</v>
      </c>
      <c r="L458" s="2" t="str">
        <f>HYPERLINK("https://docs.wto.org/imrd/directdoc.asp?DDFDocuments/v/G/TBTN14/OMN193.DOC")</f>
        <v>https://docs.wto.org/imrd/directdoc.asp?DDFDocuments/v/G/TBTN14/OMN193.DOC</v>
      </c>
      <c r="M458" s="2" t="str">
        <f>HYPERLINK("http://www.epingalert.org/#/details/G/TBT/N/OMN/193")</f>
        <v>http://www.epingalert.org/#/details/G/TBT/N/OMN/193</v>
      </c>
      <c r="N458" s="2"/>
      <c r="O458" s="2"/>
    </row>
    <row r="459" spans="1:15" ht="75" outlineLevel="1" x14ac:dyDescent="0.25">
      <c r="A459" s="2" t="s">
        <v>180</v>
      </c>
      <c r="B459" s="4" t="s">
        <v>864</v>
      </c>
      <c r="C459" s="2" t="s">
        <v>865</v>
      </c>
      <c r="D459" s="2" t="s">
        <v>866</v>
      </c>
      <c r="E459" s="3">
        <v>41982</v>
      </c>
      <c r="F459" s="2" t="s">
        <v>867</v>
      </c>
      <c r="G459" s="2"/>
      <c r="H459" s="2" t="s">
        <v>17</v>
      </c>
      <c r="I459" s="3">
        <v>42042</v>
      </c>
      <c r="J459" s="2" t="str">
        <f>HYPERLINK("https://docs.wto.org/imrd/directdoc.asp?DDFDocuments/t/G/TBTN14/KWT253.DOC")</f>
        <v>https://docs.wto.org/imrd/directdoc.asp?DDFDocuments/t/G/TBTN14/KWT253.DOC</v>
      </c>
      <c r="K459" s="2" t="str">
        <f>HYPERLINK("https://docs.wto.org/imrd/directdoc.asp?DDFDocuments/u/G/TBTN14/KWT253.DOC")</f>
        <v>https://docs.wto.org/imrd/directdoc.asp?DDFDocuments/u/G/TBTN14/KWT253.DOC</v>
      </c>
      <c r="L459" s="2" t="str">
        <f>HYPERLINK("https://docs.wto.org/imrd/directdoc.asp?DDFDocuments/v/G/TBTN14/KWT253.DOC")</f>
        <v>https://docs.wto.org/imrd/directdoc.asp?DDFDocuments/v/G/TBTN14/KWT253.DOC</v>
      </c>
      <c r="M459" s="2" t="str">
        <f>HYPERLINK("http://www.epingalert.org/#/details/G/TBT/N/KWT/253")</f>
        <v>http://www.epingalert.org/#/details/G/TBT/N/KWT/253</v>
      </c>
      <c r="N459" s="2"/>
      <c r="O459" s="2"/>
    </row>
    <row r="460" spans="1:15" ht="120" outlineLevel="1" x14ac:dyDescent="0.25">
      <c r="A460" s="2" t="s">
        <v>180</v>
      </c>
      <c r="B460" s="4" t="s">
        <v>868</v>
      </c>
      <c r="C460" s="2" t="s">
        <v>784</v>
      </c>
      <c r="D460" s="2" t="s">
        <v>785</v>
      </c>
      <c r="E460" s="3">
        <v>41982</v>
      </c>
      <c r="F460" s="2" t="s">
        <v>743</v>
      </c>
      <c r="G460" s="2"/>
      <c r="H460" s="2" t="s">
        <v>198</v>
      </c>
      <c r="I460" s="3">
        <v>42042</v>
      </c>
      <c r="J460" s="2" t="str">
        <f>HYPERLINK("https://docs.wto.org/imrd/directdoc.asp?DDFDocuments/t/G/TBTN14/KWT252.DOC")</f>
        <v>https://docs.wto.org/imrd/directdoc.asp?DDFDocuments/t/G/TBTN14/KWT252.DOC</v>
      </c>
      <c r="K460" s="2" t="str">
        <f>HYPERLINK("https://docs.wto.org/imrd/directdoc.asp?DDFDocuments/u/G/TBTN14/KWT252.DOC")</f>
        <v>https://docs.wto.org/imrd/directdoc.asp?DDFDocuments/u/G/TBTN14/KWT252.DOC</v>
      </c>
      <c r="L460" s="2" t="str">
        <f>HYPERLINK("https://docs.wto.org/imrd/directdoc.asp?DDFDocuments/v/G/TBTN14/KWT252.DOC")</f>
        <v>https://docs.wto.org/imrd/directdoc.asp?DDFDocuments/v/G/TBTN14/KWT252.DOC</v>
      </c>
      <c r="M460" s="2" t="str">
        <f>HYPERLINK("http://www.epingalert.org/#/details/G/TBT/N/KWT/252")</f>
        <v>http://www.epingalert.org/#/details/G/TBT/N/KWT/252</v>
      </c>
      <c r="N460" s="2"/>
      <c r="O460" s="2"/>
    </row>
    <row r="461" spans="1:15" ht="135" outlineLevel="1" x14ac:dyDescent="0.25">
      <c r="A461" s="2" t="s">
        <v>18</v>
      </c>
      <c r="B461" s="31" t="s">
        <v>9048</v>
      </c>
      <c r="C461" s="31" t="s">
        <v>9041</v>
      </c>
      <c r="D461" s="31" t="s">
        <v>9042</v>
      </c>
      <c r="E461" s="30">
        <v>41981</v>
      </c>
      <c r="F461" s="31" t="s">
        <v>9043</v>
      </c>
      <c r="G461" s="31" t="s">
        <v>153</v>
      </c>
      <c r="H461" s="31" t="s">
        <v>9044</v>
      </c>
      <c r="I461" s="3">
        <v>42004</v>
      </c>
      <c r="J461" s="32" t="s">
        <v>9045</v>
      </c>
      <c r="K461" s="24"/>
      <c r="L461" s="24"/>
      <c r="M461" s="24"/>
      <c r="N461" s="24"/>
      <c r="O461" s="2"/>
    </row>
    <row r="462" spans="1:15" ht="210" outlineLevel="1" x14ac:dyDescent="0.25">
      <c r="A462" s="2" t="s">
        <v>77</v>
      </c>
      <c r="B462" s="4" t="s">
        <v>2232</v>
      </c>
      <c r="C462" s="2" t="s">
        <v>2233</v>
      </c>
      <c r="D462" s="2" t="s">
        <v>2234</v>
      </c>
      <c r="E462" s="3">
        <v>41981</v>
      </c>
      <c r="F462" s="2" t="s">
        <v>2235</v>
      </c>
      <c r="G462" s="2" t="s">
        <v>2236</v>
      </c>
      <c r="H462" s="2" t="s">
        <v>24</v>
      </c>
      <c r="I462" s="3">
        <v>42010</v>
      </c>
      <c r="J462" s="2" t="str">
        <f>HYPERLINK("https://docs.wto.org/imrd/directdoc.asp?DDFDocuments/t/G/TBTN14/TPKM190.DOC")</f>
        <v>https://docs.wto.org/imrd/directdoc.asp?DDFDocuments/t/G/TBTN14/TPKM190.DOC</v>
      </c>
      <c r="K462" s="2" t="str">
        <f>HYPERLINK("https://docs.wto.org/imrd/directdoc.asp?DDFDocuments/u/G/TBTN14/TPKM190.DOC")</f>
        <v>https://docs.wto.org/imrd/directdoc.asp?DDFDocuments/u/G/TBTN14/TPKM190.DOC</v>
      </c>
      <c r="L462" s="2" t="str">
        <f>HYPERLINK("https://docs.wto.org/imrd/directdoc.asp?DDFDocuments/v/G/TBTN14/TPKM190.DOC")</f>
        <v>https://docs.wto.org/imrd/directdoc.asp?DDFDocuments/v/G/TBTN14/TPKM190.DOC</v>
      </c>
      <c r="M462" s="2" t="str">
        <f>HYPERLINK("http://www.epingalert.org/#/details/G/TBT/N/TPKM/190")</f>
        <v>http://www.epingalert.org/#/details/G/TBT/N/TPKM/190</v>
      </c>
      <c r="N462" s="2"/>
      <c r="O462" s="2"/>
    </row>
    <row r="463" spans="1:15" ht="135" outlineLevel="1" x14ac:dyDescent="0.25">
      <c r="A463" s="2" t="s">
        <v>18</v>
      </c>
      <c r="B463" s="4" t="s">
        <v>869</v>
      </c>
      <c r="C463" s="2" t="s">
        <v>870</v>
      </c>
      <c r="D463" s="2" t="s">
        <v>871</v>
      </c>
      <c r="E463" s="3">
        <v>41981</v>
      </c>
      <c r="F463" s="2" t="s">
        <v>22</v>
      </c>
      <c r="G463" s="2" t="s">
        <v>23</v>
      </c>
      <c r="H463" s="2" t="s">
        <v>17</v>
      </c>
      <c r="I463" s="3">
        <v>42004</v>
      </c>
      <c r="J463" s="2" t="str">
        <f>HYPERLINK("https://docs.wto.org/imrd/directdoc.asp?DDFDocuments/t/G/TBTN14/USA938.DOC")</f>
        <v>https://docs.wto.org/imrd/directdoc.asp?DDFDocuments/t/G/TBTN14/USA938.DOC</v>
      </c>
      <c r="K463" s="2" t="str">
        <f>HYPERLINK("https://docs.wto.org/imrd/directdoc.asp?DDFDocuments/u/G/TBTN14/USA938.DOC")</f>
        <v>https://docs.wto.org/imrd/directdoc.asp?DDFDocuments/u/G/TBTN14/USA938.DOC</v>
      </c>
      <c r="L463" s="2" t="str">
        <f>HYPERLINK("https://docs.wto.org/imrd/directdoc.asp?DDFDocuments/v/G/TBTN14/USA938.DOC")</f>
        <v>https://docs.wto.org/imrd/directdoc.asp?DDFDocuments/v/G/TBTN14/USA938.DOC</v>
      </c>
      <c r="M463" s="2" t="str">
        <f>HYPERLINK("http://www.epingalert.org/#/details/G/TBT/N/USA/938")</f>
        <v>http://www.epingalert.org/#/details/G/TBT/N/USA/938</v>
      </c>
      <c r="N463" s="2"/>
      <c r="O463" s="2"/>
    </row>
    <row r="464" spans="1:15" ht="120" outlineLevel="1" x14ac:dyDescent="0.25">
      <c r="A464" s="2" t="s">
        <v>184</v>
      </c>
      <c r="B464" s="4" t="s">
        <v>872</v>
      </c>
      <c r="C464" s="2" t="s">
        <v>873</v>
      </c>
      <c r="D464" s="2" t="s">
        <v>841</v>
      </c>
      <c r="E464" s="3">
        <v>41977</v>
      </c>
      <c r="F464" s="2" t="s">
        <v>874</v>
      </c>
      <c r="G464" s="2" t="s">
        <v>875</v>
      </c>
      <c r="H464" s="2" t="s">
        <v>198</v>
      </c>
      <c r="I464" s="3">
        <v>42037</v>
      </c>
      <c r="J464" s="2" t="str">
        <f>HYPERLINK("https://docs.wto.org/imrd/directdoc.asp?DDFDocuments/t/G/TBTN14/ARE244.DOC")</f>
        <v>https://docs.wto.org/imrd/directdoc.asp?DDFDocuments/t/G/TBTN14/ARE244.DOC</v>
      </c>
      <c r="K464" s="2" t="str">
        <f>HYPERLINK("https://docs.wto.org/imrd/directdoc.asp?DDFDocuments/u/G/TBTN14/ARE244.DOC")</f>
        <v>https://docs.wto.org/imrd/directdoc.asp?DDFDocuments/u/G/TBTN14/ARE244.DOC</v>
      </c>
      <c r="L464" s="2" t="str">
        <f>HYPERLINK("https://docs.wto.org/imrd/directdoc.asp?DDFDocuments/v/G/TBTN14/ARE244.DOC")</f>
        <v>https://docs.wto.org/imrd/directdoc.asp?DDFDocuments/v/G/TBTN14/ARE244.DOC</v>
      </c>
      <c r="M464" s="2" t="str">
        <f>HYPERLINK("http://www.epingalert.org/#/details/G/TBT/N/ARE/244")</f>
        <v>http://www.epingalert.org/#/details/G/TBT/N/ARE/244</v>
      </c>
      <c r="N464" s="2"/>
      <c r="O464" s="2"/>
    </row>
    <row r="465" spans="1:15" ht="75" outlineLevel="1" x14ac:dyDescent="0.25">
      <c r="A465" s="2" t="s">
        <v>98</v>
      </c>
      <c r="B465" s="4" t="s">
        <v>1812</v>
      </c>
      <c r="C465" s="2" t="s">
        <v>1813</v>
      </c>
      <c r="D465" s="2" t="s">
        <v>1814</v>
      </c>
      <c r="E465" s="3">
        <v>41976</v>
      </c>
      <c r="F465" s="2"/>
      <c r="G465" s="2" t="s">
        <v>1815</v>
      </c>
      <c r="H465" s="2" t="s">
        <v>915</v>
      </c>
      <c r="I465" s="3">
        <v>42066</v>
      </c>
      <c r="J465" s="2" t="str">
        <f>HYPERLINK("https://docs.wto.org/imrd/directdoc.asp?DDFDocuments/t/G/TBTN05/ZAF48R1.DOC")</f>
        <v>https://docs.wto.org/imrd/directdoc.asp?DDFDocuments/t/G/TBTN05/ZAF48R1.DOC</v>
      </c>
      <c r="K465" s="2" t="str">
        <f>HYPERLINK("https://docs.wto.org/imrd/directdoc.asp?DDFDocuments/u/G/TBTN05/ZAF48R1.DOC")</f>
        <v>https://docs.wto.org/imrd/directdoc.asp?DDFDocuments/u/G/TBTN05/ZAF48R1.DOC</v>
      </c>
      <c r="L465" s="2" t="str">
        <f>HYPERLINK("https://docs.wto.org/imrd/directdoc.asp?DDFDocuments/v/G/TBTN05/ZAF48R1.DOC")</f>
        <v>https://docs.wto.org/imrd/directdoc.asp?DDFDocuments/v/G/TBTN05/ZAF48R1.DOC</v>
      </c>
      <c r="M465" s="2" t="str">
        <f>HYPERLINK("http://www.epingalert.org/#/details/G/TBT/N/ZAF/48/Rev.1")</f>
        <v>http://www.epingalert.org/#/details/G/TBT/N/ZAF/48/Rev.1</v>
      </c>
      <c r="N465" s="2"/>
      <c r="O465" s="2"/>
    </row>
    <row r="466" spans="1:15" ht="75" outlineLevel="1" x14ac:dyDescent="0.25">
      <c r="A466" s="2" t="s">
        <v>179</v>
      </c>
      <c r="B466" s="4" t="s">
        <v>876</v>
      </c>
      <c r="C466" s="2" t="s">
        <v>877</v>
      </c>
      <c r="D466" s="2" t="s">
        <v>878</v>
      </c>
      <c r="E466" s="3">
        <v>41976</v>
      </c>
      <c r="F466" s="2" t="s">
        <v>735</v>
      </c>
      <c r="G466" s="2"/>
      <c r="H466" s="2" t="s">
        <v>17</v>
      </c>
      <c r="I466" s="3">
        <v>42036</v>
      </c>
      <c r="J466" s="2" t="str">
        <f>HYPERLINK("https://docs.wto.org/imrd/directdoc.asp?DDFDocuments/t/G/TBTN14/OMN192.DOC")</f>
        <v>https://docs.wto.org/imrd/directdoc.asp?DDFDocuments/t/G/TBTN14/OMN192.DOC</v>
      </c>
      <c r="K466" s="2" t="str">
        <f>HYPERLINK("https://docs.wto.org/imrd/directdoc.asp?DDFDocuments/u/G/TBTN14/OMN192.DOC")</f>
        <v>https://docs.wto.org/imrd/directdoc.asp?DDFDocuments/u/G/TBTN14/OMN192.DOC</v>
      </c>
      <c r="L466" s="2" t="str">
        <f>HYPERLINK("https://docs.wto.org/imrd/directdoc.asp?DDFDocuments/v/G/TBTN14/OMN192.DOC")</f>
        <v>https://docs.wto.org/imrd/directdoc.asp?DDFDocuments/v/G/TBTN14/OMN192.DOC</v>
      </c>
      <c r="M466" s="2" t="str">
        <f>HYPERLINK("http://www.epingalert.org/#/details/G/TBT/N/OMN/192")</f>
        <v>http://www.epingalert.org/#/details/G/TBT/N/OMN/192</v>
      </c>
      <c r="N466" s="2"/>
      <c r="O466" s="2"/>
    </row>
    <row r="467" spans="1:15" ht="90" outlineLevel="1" x14ac:dyDescent="0.25">
      <c r="A467" s="2" t="s">
        <v>180</v>
      </c>
      <c r="B467" s="4" t="s">
        <v>879</v>
      </c>
      <c r="C467" s="2" t="s">
        <v>880</v>
      </c>
      <c r="D467" s="2" t="s">
        <v>881</v>
      </c>
      <c r="E467" s="3">
        <v>41976</v>
      </c>
      <c r="F467" s="2" t="s">
        <v>882</v>
      </c>
      <c r="G467" s="2"/>
      <c r="H467" s="2" t="s">
        <v>17</v>
      </c>
      <c r="I467" s="3">
        <v>42036</v>
      </c>
      <c r="J467" s="2" t="str">
        <f>HYPERLINK("https://docs.wto.org/imrd/directdoc.asp?DDFDocuments/t/G/TBTN14/KWT251.DOC")</f>
        <v>https://docs.wto.org/imrd/directdoc.asp?DDFDocuments/t/G/TBTN14/KWT251.DOC</v>
      </c>
      <c r="K467" s="2" t="str">
        <f>HYPERLINK("https://docs.wto.org/imrd/directdoc.asp?DDFDocuments/u/G/TBTN14/KWT251.DOC")</f>
        <v>https://docs.wto.org/imrd/directdoc.asp?DDFDocuments/u/G/TBTN14/KWT251.DOC</v>
      </c>
      <c r="L467" s="2" t="str">
        <f>HYPERLINK("https://docs.wto.org/imrd/directdoc.asp?DDFDocuments/v/G/TBTN14/KWT251.DOC")</f>
        <v>https://docs.wto.org/imrd/directdoc.asp?DDFDocuments/v/G/TBTN14/KWT251.DOC</v>
      </c>
      <c r="M467" s="2" t="str">
        <f>HYPERLINK("http://www.epingalert.org/#/details/G/TBT/N/KWT/251")</f>
        <v>http://www.epingalert.org/#/details/G/TBT/N/KWT/251</v>
      </c>
      <c r="N467" s="2"/>
      <c r="O467" s="2"/>
    </row>
    <row r="468" spans="1:15" ht="75" outlineLevel="1" x14ac:dyDescent="0.25">
      <c r="A468" s="2" t="s">
        <v>173</v>
      </c>
      <c r="B468" s="4" t="s">
        <v>883</v>
      </c>
      <c r="C468" s="2" t="s">
        <v>884</v>
      </c>
      <c r="D468" s="2" t="s">
        <v>885</v>
      </c>
      <c r="E468" s="3">
        <v>41975</v>
      </c>
      <c r="F468" s="2" t="s">
        <v>886</v>
      </c>
      <c r="G468" s="2"/>
      <c r="H468" s="2" t="s">
        <v>17</v>
      </c>
      <c r="I468" s="3">
        <v>42037</v>
      </c>
      <c r="J468" s="2" t="str">
        <f>HYPERLINK("https://docs.wto.org/imrd/directdoc.asp?DDFDocuments/t/G/TBTN14/SAU820.DOC")</f>
        <v>https://docs.wto.org/imrd/directdoc.asp?DDFDocuments/t/G/TBTN14/SAU820.DOC</v>
      </c>
      <c r="K468" s="2" t="str">
        <f>HYPERLINK("https://docs.wto.org/imrd/directdoc.asp?DDFDocuments/u/G/TBTN14/SAU820.DOC")</f>
        <v>https://docs.wto.org/imrd/directdoc.asp?DDFDocuments/u/G/TBTN14/SAU820.DOC</v>
      </c>
      <c r="L468" s="2" t="str">
        <f>HYPERLINK("https://docs.wto.org/imrd/directdoc.asp?DDFDocuments/v/G/TBTN14/SAU820.DOC")</f>
        <v>https://docs.wto.org/imrd/directdoc.asp?DDFDocuments/v/G/TBTN14/SAU820.DOC</v>
      </c>
      <c r="M468" s="2" t="str">
        <f>HYPERLINK("http://www.epingalert.org/#/details/G/TBT/N/SAU/820")</f>
        <v>http://www.epingalert.org/#/details/G/TBT/N/SAU/820</v>
      </c>
      <c r="N468" s="2"/>
      <c r="O468" s="2"/>
    </row>
    <row r="469" spans="1:15" ht="105" outlineLevel="1" x14ac:dyDescent="0.25">
      <c r="A469" s="2" t="s">
        <v>173</v>
      </c>
      <c r="B469" s="4" t="s">
        <v>887</v>
      </c>
      <c r="C469" s="2" t="s">
        <v>888</v>
      </c>
      <c r="D469" s="2" t="s">
        <v>889</v>
      </c>
      <c r="E469" s="3">
        <v>41975</v>
      </c>
      <c r="F469" s="2" t="s">
        <v>890</v>
      </c>
      <c r="G469" s="2"/>
      <c r="H469" s="2"/>
      <c r="I469" s="3">
        <v>42037</v>
      </c>
      <c r="J469" s="2" t="str">
        <f>HYPERLINK("https://docs.wto.org/imrd/directdoc.asp?DDFDocuments/t/G/TBTN14/SAU812.DOC")</f>
        <v>https://docs.wto.org/imrd/directdoc.asp?DDFDocuments/t/G/TBTN14/SAU812.DOC</v>
      </c>
      <c r="K469" s="2" t="str">
        <f>HYPERLINK("https://docs.wto.org/imrd/directdoc.asp?DDFDocuments/u/G/TBTN14/SAU812.DOC")</f>
        <v>https://docs.wto.org/imrd/directdoc.asp?DDFDocuments/u/G/TBTN14/SAU812.DOC</v>
      </c>
      <c r="L469" s="2" t="str">
        <f>HYPERLINK("https://docs.wto.org/imrd/directdoc.asp?DDFDocuments/v/G/TBTN14/SAU812.DOC")</f>
        <v>https://docs.wto.org/imrd/directdoc.asp?DDFDocuments/v/G/TBTN14/SAU812.DOC</v>
      </c>
      <c r="M469" s="2" t="str">
        <f>HYPERLINK("http://www.epingalert.org/#/details/G/TBT/N/SAU/812")</f>
        <v>http://www.epingalert.org/#/details/G/TBT/N/SAU/812</v>
      </c>
      <c r="N469" s="2"/>
      <c r="O469" s="2"/>
    </row>
    <row r="470" spans="1:15" ht="120" outlineLevel="1" x14ac:dyDescent="0.25">
      <c r="A470" s="2" t="s">
        <v>77</v>
      </c>
      <c r="B470" s="4" t="s">
        <v>1552</v>
      </c>
      <c r="C470" s="2" t="s">
        <v>1553</v>
      </c>
      <c r="D470" s="2" t="s">
        <v>1554</v>
      </c>
      <c r="E470" s="3">
        <v>41971</v>
      </c>
      <c r="F470" s="2" t="s">
        <v>1555</v>
      </c>
      <c r="G470" s="2" t="s">
        <v>1556</v>
      </c>
      <c r="H470" s="2" t="s">
        <v>988</v>
      </c>
      <c r="I470" s="3">
        <v>42031</v>
      </c>
      <c r="J470" s="2" t="str">
        <f>HYPERLINK("https://docs.wto.org/imrd/directdoc.asp?DDFDocuments/t/G/TBTN14/TPKM189.DOC")</f>
        <v>https://docs.wto.org/imrd/directdoc.asp?DDFDocuments/t/G/TBTN14/TPKM189.DOC</v>
      </c>
      <c r="K470" s="2" t="str">
        <f>HYPERLINK("https://docs.wto.org/imrd/directdoc.asp?DDFDocuments/u/G/TBTN14/TPKM189.DOC")</f>
        <v>https://docs.wto.org/imrd/directdoc.asp?DDFDocuments/u/G/TBTN14/TPKM189.DOC</v>
      </c>
      <c r="L470" s="2" t="str">
        <f>HYPERLINK("https://docs.wto.org/imrd/directdoc.asp?DDFDocuments/v/G/TBTN14/TPKM189.DOC")</f>
        <v>https://docs.wto.org/imrd/directdoc.asp?DDFDocuments/v/G/TBTN14/TPKM189.DOC</v>
      </c>
      <c r="M470" s="2" t="str">
        <f>HYPERLINK("http://www.epingalert.org/#/details/G/TBT/N/TPKM/189")</f>
        <v>http://www.epingalert.org/#/details/G/TBT/N/TPKM/189</v>
      </c>
      <c r="N470" s="2"/>
      <c r="O470" s="2"/>
    </row>
    <row r="471" spans="1:15" ht="105" outlineLevel="1" x14ac:dyDescent="0.25">
      <c r="A471" s="2" t="s">
        <v>77</v>
      </c>
      <c r="B471" s="4" t="s">
        <v>891</v>
      </c>
      <c r="C471" s="2" t="s">
        <v>892</v>
      </c>
      <c r="D471" s="2" t="s">
        <v>893</v>
      </c>
      <c r="E471" s="3">
        <v>41970</v>
      </c>
      <c r="F471" s="8" t="s">
        <v>112</v>
      </c>
      <c r="G471" s="2"/>
      <c r="H471" s="2" t="s">
        <v>24</v>
      </c>
      <c r="I471" s="3">
        <v>42030</v>
      </c>
      <c r="J471" s="2" t="str">
        <f>HYPERLINK("https://docs.wto.org/imrd/directdoc.asp?DDFDocuments/t/G/TBTN14/TPKM187.DOC")</f>
        <v>https://docs.wto.org/imrd/directdoc.asp?DDFDocuments/t/G/TBTN14/TPKM187.DOC</v>
      </c>
      <c r="K471" s="2" t="str">
        <f>HYPERLINK("https://docs.wto.org/imrd/directdoc.asp?DDFDocuments/u/G/TBTN14/TPKM187.DOC")</f>
        <v>https://docs.wto.org/imrd/directdoc.asp?DDFDocuments/u/G/TBTN14/TPKM187.DOC</v>
      </c>
      <c r="L471" s="2" t="str">
        <f>HYPERLINK("https://docs.wto.org/imrd/directdoc.asp?DDFDocuments/v/G/TBTN14/TPKM187.DOC")</f>
        <v>https://docs.wto.org/imrd/directdoc.asp?DDFDocuments/v/G/TBTN14/TPKM187.DOC</v>
      </c>
      <c r="M471" s="2" t="str">
        <f>HYPERLINK("http://www.epingalert.org/#/details/G/TBT/N/TPKM/187")</f>
        <v>http://www.epingalert.org/#/details/G/TBT/N/TPKM/187</v>
      </c>
      <c r="N471" s="2"/>
      <c r="O471" s="2"/>
    </row>
    <row r="472" spans="1:15" ht="409.5" outlineLevel="1" x14ac:dyDescent="0.25">
      <c r="A472" s="2" t="s">
        <v>12</v>
      </c>
      <c r="B472" s="4" t="s">
        <v>894</v>
      </c>
      <c r="C472" s="2" t="s">
        <v>895</v>
      </c>
      <c r="D472" s="2" t="s">
        <v>896</v>
      </c>
      <c r="E472" s="3">
        <v>41969</v>
      </c>
      <c r="F472" s="2" t="s">
        <v>897</v>
      </c>
      <c r="G472" s="2"/>
      <c r="H472" s="2" t="s">
        <v>82</v>
      </c>
      <c r="I472" s="3">
        <v>42029</v>
      </c>
      <c r="J472" s="2" t="str">
        <f>HYPERLINK("https://docs.wto.org/imrd/directdoc.asp?DDFDocuments/t/G/TBTN13/EU144R1.DOC")</f>
        <v>https://docs.wto.org/imrd/directdoc.asp?DDFDocuments/t/G/TBTN13/EU144R1.DOC</v>
      </c>
      <c r="K472" s="2" t="str">
        <f>HYPERLINK("https://docs.wto.org/imrd/directdoc.asp?DDFDocuments/u/G/TBTN13/EU144R1.DOC")</f>
        <v>https://docs.wto.org/imrd/directdoc.asp?DDFDocuments/u/G/TBTN13/EU144R1.DOC</v>
      </c>
      <c r="L472" s="2" t="str">
        <f>HYPERLINK("https://docs.wto.org/imrd/directdoc.asp?DDFDocuments/v/G/TBTN13/EU144R1.DOC")</f>
        <v>https://docs.wto.org/imrd/directdoc.asp?DDFDocuments/v/G/TBTN13/EU144R1.DOC</v>
      </c>
      <c r="M472" s="2" t="str">
        <f>HYPERLINK("http://www.epingalert.org/#/details/G/TBT/N/EU/144/Rev.1")</f>
        <v>http://www.epingalert.org/#/details/G/TBT/N/EU/144/Rev.1</v>
      </c>
      <c r="N472" s="2"/>
      <c r="O472" s="2"/>
    </row>
    <row r="473" spans="1:15" ht="120" outlineLevel="1" x14ac:dyDescent="0.25">
      <c r="A473" s="2" t="s">
        <v>12</v>
      </c>
      <c r="B473" s="4" t="s">
        <v>898</v>
      </c>
      <c r="C473" s="2" t="s">
        <v>899</v>
      </c>
      <c r="D473" s="2" t="s">
        <v>900</v>
      </c>
      <c r="E473" s="3">
        <v>41967</v>
      </c>
      <c r="F473" s="2" t="s">
        <v>86</v>
      </c>
      <c r="G473" s="2"/>
      <c r="H473" s="2"/>
      <c r="I473" s="3">
        <v>42027</v>
      </c>
      <c r="J473" s="2" t="str">
        <f>HYPERLINK("https://docs.wto.org/imrd/directdoc.asp?DDFDocuments/t/G/TBTN14/EU251.DOC")</f>
        <v>https://docs.wto.org/imrd/directdoc.asp?DDFDocuments/t/G/TBTN14/EU251.DOC</v>
      </c>
      <c r="K473" s="2" t="str">
        <f>HYPERLINK("https://docs.wto.org/imrd/directdoc.asp?DDFDocuments/u/G/TBTN14/EU251.DOC")</f>
        <v>https://docs.wto.org/imrd/directdoc.asp?DDFDocuments/u/G/TBTN14/EU251.DOC</v>
      </c>
      <c r="L473" s="2" t="str">
        <f>HYPERLINK("https://docs.wto.org/imrd/directdoc.asp?DDFDocuments/v/G/TBTN14/EU251.DOC")</f>
        <v>https://docs.wto.org/imrd/directdoc.asp?DDFDocuments/v/G/TBTN14/EU251.DOC</v>
      </c>
      <c r="M473" s="2" t="str">
        <f>HYPERLINK("http://www.epingalert.org/#/details/G/TBT/N/EU/251")</f>
        <v>http://www.epingalert.org/#/details/G/TBT/N/EU/251</v>
      </c>
      <c r="N473" s="2"/>
      <c r="O473" s="2"/>
    </row>
    <row r="474" spans="1:15" ht="150" outlineLevel="1" x14ac:dyDescent="0.25">
      <c r="A474" s="2" t="s">
        <v>77</v>
      </c>
      <c r="B474" s="4" t="s">
        <v>1557</v>
      </c>
      <c r="C474" s="2" t="s">
        <v>1558</v>
      </c>
      <c r="D474" s="2" t="s">
        <v>1559</v>
      </c>
      <c r="E474" s="3">
        <v>41963</v>
      </c>
      <c r="F474" s="2" t="s">
        <v>1560</v>
      </c>
      <c r="G474" s="2" t="s">
        <v>1556</v>
      </c>
      <c r="H474" s="2" t="s">
        <v>988</v>
      </c>
      <c r="I474" s="3">
        <v>42023</v>
      </c>
      <c r="J474" s="2" t="str">
        <f>HYPERLINK("https://docs.wto.org/imrd/directdoc.asp?DDFDocuments/t/G/TBTN14/TPKM186.DOC")</f>
        <v>https://docs.wto.org/imrd/directdoc.asp?DDFDocuments/t/G/TBTN14/TPKM186.DOC</v>
      </c>
      <c r="K474" s="2" t="str">
        <f>HYPERLINK("https://docs.wto.org/imrd/directdoc.asp?DDFDocuments/u/G/TBTN14/TPKM186.DOC")</f>
        <v>https://docs.wto.org/imrd/directdoc.asp?DDFDocuments/u/G/TBTN14/TPKM186.DOC</v>
      </c>
      <c r="L474" s="2" t="str">
        <f>HYPERLINK("https://docs.wto.org/imrd/directdoc.asp?DDFDocuments/v/G/TBTN14/TPKM186.DOC")</f>
        <v>https://docs.wto.org/imrd/directdoc.asp?DDFDocuments/v/G/TBTN14/TPKM186.DOC</v>
      </c>
      <c r="M474" s="2" t="str">
        <f>HYPERLINK("http://www.epingalert.org/#/details/G/TBT/N/TPKM/186")</f>
        <v>http://www.epingalert.org/#/details/G/TBT/N/TPKM/186</v>
      </c>
      <c r="N474" s="2"/>
      <c r="O474" s="2"/>
    </row>
    <row r="475" spans="1:15" ht="135" outlineLevel="1" x14ac:dyDescent="0.25">
      <c r="A475" s="2" t="s">
        <v>12</v>
      </c>
      <c r="B475" s="4" t="s">
        <v>901</v>
      </c>
      <c r="C475" s="2" t="s">
        <v>902</v>
      </c>
      <c r="D475" s="2" t="s">
        <v>903</v>
      </c>
      <c r="E475" s="3">
        <v>41960</v>
      </c>
      <c r="F475" s="2" t="s">
        <v>86</v>
      </c>
      <c r="G475" s="2"/>
      <c r="H475" s="2" t="s">
        <v>17</v>
      </c>
      <c r="I475" s="3">
        <v>42020</v>
      </c>
      <c r="J475" s="2" t="str">
        <f>HYPERLINK("https://docs.wto.org/imrd/directdoc.asp?DDFDocuments/t/G/TBTN14/EU249.DOC")</f>
        <v>https://docs.wto.org/imrd/directdoc.asp?DDFDocuments/t/G/TBTN14/EU249.DOC</v>
      </c>
      <c r="K475" s="2" t="str">
        <f>HYPERLINK("https://docs.wto.org/imrd/directdoc.asp?DDFDocuments/u/G/TBTN14/EU249.DOC")</f>
        <v>https://docs.wto.org/imrd/directdoc.asp?DDFDocuments/u/G/TBTN14/EU249.DOC</v>
      </c>
      <c r="L475" s="2" t="str">
        <f>HYPERLINK("https://docs.wto.org/imrd/directdoc.asp?DDFDocuments/v/G/TBTN14/EU249.DOC")</f>
        <v>https://docs.wto.org/imrd/directdoc.asp?DDFDocuments/v/G/TBTN14/EU249.DOC</v>
      </c>
      <c r="M475" s="2" t="str">
        <f>HYPERLINK("http://www.epingalert.org/#/details/G/TBT/N/EU/249")</f>
        <v>http://www.epingalert.org/#/details/G/TBT/N/EU/249</v>
      </c>
      <c r="N475" s="2"/>
      <c r="O475" s="2"/>
    </row>
    <row r="476" spans="1:15" ht="60" outlineLevel="1" x14ac:dyDescent="0.25">
      <c r="A476" s="2" t="s">
        <v>37</v>
      </c>
      <c r="B476" s="4" t="s">
        <v>1561</v>
      </c>
      <c r="C476" s="2" t="s">
        <v>1562</v>
      </c>
      <c r="D476" s="2" t="s">
        <v>1563</v>
      </c>
      <c r="E476" s="3">
        <v>41960</v>
      </c>
      <c r="F476" s="2" t="s">
        <v>1564</v>
      </c>
      <c r="G476" s="2"/>
      <c r="H476" s="2" t="s">
        <v>17</v>
      </c>
      <c r="I476" s="3">
        <v>42020</v>
      </c>
      <c r="J476" s="2" t="str">
        <f>HYPERLINK("https://docs.wto.org/imrd/directdoc.asp?DDFDocuments/t/G/TBTN14/TUR58.DOC")</f>
        <v>https://docs.wto.org/imrd/directdoc.asp?DDFDocuments/t/G/TBTN14/TUR58.DOC</v>
      </c>
      <c r="K476" s="2" t="str">
        <f>HYPERLINK("https://docs.wto.org/imrd/directdoc.asp?DDFDocuments/u/G/TBTN14/TUR58.DOC")</f>
        <v>https://docs.wto.org/imrd/directdoc.asp?DDFDocuments/u/G/TBTN14/TUR58.DOC</v>
      </c>
      <c r="L476" s="2" t="str">
        <f>HYPERLINK("https://docs.wto.org/imrd/directdoc.asp?DDFDocuments/v/G/TBTN14/TUR58.DOC")</f>
        <v>https://docs.wto.org/imrd/directdoc.asp?DDFDocuments/v/G/TBTN14/TUR58.DOC</v>
      </c>
      <c r="M476" s="2" t="str">
        <f>HYPERLINK("http://www.epingalert.org/#/details/G/TBT/N/TUR/58")</f>
        <v>http://www.epingalert.org/#/details/G/TBT/N/TUR/58</v>
      </c>
      <c r="N476" s="2"/>
      <c r="O476" s="2"/>
    </row>
    <row r="477" spans="1:15" ht="75" outlineLevel="1" x14ac:dyDescent="0.25">
      <c r="A477" s="2" t="s">
        <v>1129</v>
      </c>
      <c r="B477" s="4" t="s">
        <v>2237</v>
      </c>
      <c r="C477" s="2" t="s">
        <v>2238</v>
      </c>
      <c r="D477" s="2" t="s">
        <v>2239</v>
      </c>
      <c r="E477" s="3">
        <v>41960</v>
      </c>
      <c r="F477" s="2"/>
      <c r="G477" s="2" t="s">
        <v>2166</v>
      </c>
      <c r="H477" s="2" t="s">
        <v>1006</v>
      </c>
      <c r="I477" s="3">
        <v>42016</v>
      </c>
      <c r="J477" s="2" t="str">
        <f>HYPERLINK("https://docs.wto.org/imrd/directdoc.asp?DDFDocuments/t/G/TBTN14/KEN438.DOC")</f>
        <v>https://docs.wto.org/imrd/directdoc.asp?DDFDocuments/t/G/TBTN14/KEN438.DOC</v>
      </c>
      <c r="K477" s="2" t="str">
        <f>HYPERLINK("https://docs.wto.org/imrd/directdoc.asp?DDFDocuments/u/G/TBTN14/KEN438.DOC")</f>
        <v>https://docs.wto.org/imrd/directdoc.asp?DDFDocuments/u/G/TBTN14/KEN438.DOC</v>
      </c>
      <c r="L477" s="2" t="str">
        <f>HYPERLINK("https://docs.wto.org/imrd/directdoc.asp?DDFDocuments/v/G/TBTN14/KEN438.DOC")</f>
        <v>https://docs.wto.org/imrd/directdoc.asp?DDFDocuments/v/G/TBTN14/KEN438.DOC</v>
      </c>
      <c r="M477" s="2" t="str">
        <f>HYPERLINK("http://www.epingalert.org/#/details/G/TBT/N/KEN/438")</f>
        <v>http://www.epingalert.org/#/details/G/TBT/N/KEN/438</v>
      </c>
      <c r="N477" s="2"/>
      <c r="O477" s="2"/>
    </row>
    <row r="478" spans="1:15" ht="409.5" outlineLevel="1" x14ac:dyDescent="0.25">
      <c r="A478" s="2" t="s">
        <v>25</v>
      </c>
      <c r="B478" s="4" t="s">
        <v>904</v>
      </c>
      <c r="C478" s="2" t="s">
        <v>905</v>
      </c>
      <c r="D478" s="2" t="s">
        <v>906</v>
      </c>
      <c r="E478" s="3">
        <v>41957</v>
      </c>
      <c r="F478" s="2" t="s">
        <v>210</v>
      </c>
      <c r="G478" s="2"/>
      <c r="H478" s="2" t="s">
        <v>82</v>
      </c>
      <c r="I478" s="3">
        <v>42017</v>
      </c>
      <c r="J478" s="2" t="str">
        <f>HYPERLINK("https://docs.wto.org/imrd/directdoc.asp?DDFDocuments/t/G/TBTN14/KOR537.DOC")</f>
        <v>https://docs.wto.org/imrd/directdoc.asp?DDFDocuments/t/G/TBTN14/KOR537.DOC</v>
      </c>
      <c r="K478" s="2" t="str">
        <f>HYPERLINK("https://docs.wto.org/imrd/directdoc.asp?DDFDocuments/u/G/TBTN14/KOR537.DOC")</f>
        <v>https://docs.wto.org/imrd/directdoc.asp?DDFDocuments/u/G/TBTN14/KOR537.DOC</v>
      </c>
      <c r="L478" s="2" t="str">
        <f>HYPERLINK("https://docs.wto.org/imrd/directdoc.asp?DDFDocuments/v/G/TBTN14/KOR537.DOC")</f>
        <v>https://docs.wto.org/imrd/directdoc.asp?DDFDocuments/v/G/TBTN14/KOR537.DOC</v>
      </c>
      <c r="M478" s="2" t="str">
        <f>HYPERLINK("http://www.epingalert.org/#/details/G/TBT/N/KOR/537")</f>
        <v>http://www.epingalert.org/#/details/G/TBT/N/KOR/537</v>
      </c>
      <c r="N478" s="2"/>
      <c r="O478" s="2"/>
    </row>
    <row r="479" spans="1:15" ht="150" outlineLevel="1" x14ac:dyDescent="0.25">
      <c r="A479" s="2" t="s">
        <v>1129</v>
      </c>
      <c r="B479" s="4" t="s">
        <v>1816</v>
      </c>
      <c r="C479" s="2" t="s">
        <v>1817</v>
      </c>
      <c r="D479" s="2" t="s">
        <v>1818</v>
      </c>
      <c r="E479" s="3">
        <v>41956</v>
      </c>
      <c r="F479" s="2"/>
      <c r="G479" s="2" t="s">
        <v>1819</v>
      </c>
      <c r="H479" s="2" t="s">
        <v>198</v>
      </c>
      <c r="I479" s="3">
        <v>42005</v>
      </c>
      <c r="J479" s="2" t="str">
        <f>HYPERLINK("https://docs.wto.org/imrd/directdoc.asp?DDFDocuments/t/G/TBTN14/KEN435.DOC")</f>
        <v>https://docs.wto.org/imrd/directdoc.asp?DDFDocuments/t/G/TBTN14/KEN435.DOC</v>
      </c>
      <c r="K479" s="2" t="str">
        <f>HYPERLINK("https://docs.wto.org/imrd/directdoc.asp?DDFDocuments/u/G/TBTN14/KEN435.DOC")</f>
        <v>https://docs.wto.org/imrd/directdoc.asp?DDFDocuments/u/G/TBTN14/KEN435.DOC</v>
      </c>
      <c r="L479" s="2" t="str">
        <f>HYPERLINK("https://docs.wto.org/imrd/directdoc.asp?DDFDocuments/v/G/TBTN14/KEN435.DOC")</f>
        <v>https://docs.wto.org/imrd/directdoc.asp?DDFDocuments/v/G/TBTN14/KEN435.DOC</v>
      </c>
      <c r="M479" s="2" t="str">
        <f>HYPERLINK("http://www.epingalert.org/#/details/G/TBT/N/KEN/435")</f>
        <v>http://www.epingalert.org/#/details/G/TBT/N/KEN/435</v>
      </c>
      <c r="N479" s="2"/>
      <c r="O479" s="2"/>
    </row>
    <row r="480" spans="1:15" ht="60" outlineLevel="1" x14ac:dyDescent="0.25">
      <c r="A480" s="2" t="s">
        <v>1129</v>
      </c>
      <c r="B480" s="4" t="s">
        <v>2245</v>
      </c>
      <c r="C480" s="2" t="s">
        <v>2246</v>
      </c>
      <c r="D480" s="2" t="s">
        <v>2247</v>
      </c>
      <c r="E480" s="3">
        <v>41956</v>
      </c>
      <c r="F480" s="2"/>
      <c r="G480" s="2" t="s">
        <v>2248</v>
      </c>
      <c r="H480" s="2" t="s">
        <v>127</v>
      </c>
      <c r="I480" s="3">
        <v>42005</v>
      </c>
      <c r="J480" s="2" t="str">
        <f>HYPERLINK("https://docs.wto.org/imrd/directdoc.asp?DDFDocuments/t/G/TBTN14/KEN431.DOC")</f>
        <v>https://docs.wto.org/imrd/directdoc.asp?DDFDocuments/t/G/TBTN14/KEN431.DOC</v>
      </c>
      <c r="K480" s="2" t="str">
        <f>HYPERLINK("https://docs.wto.org/imrd/directdoc.asp?DDFDocuments/u/G/TBTN14/KEN431.DOC")</f>
        <v>https://docs.wto.org/imrd/directdoc.asp?DDFDocuments/u/G/TBTN14/KEN431.DOC</v>
      </c>
      <c r="L480" s="2" t="str">
        <f>HYPERLINK("https://docs.wto.org/imrd/directdoc.asp?DDFDocuments/v/G/TBTN14/KEN431.DOC")</f>
        <v>https://docs.wto.org/imrd/directdoc.asp?DDFDocuments/v/G/TBTN14/KEN431.DOC</v>
      </c>
      <c r="M480" s="2" t="str">
        <f>HYPERLINK("http://www.epingalert.org/#/details/G/TBT/N/KEN/431")</f>
        <v>http://www.epingalert.org/#/details/G/TBT/N/KEN/431</v>
      </c>
      <c r="N480" s="2"/>
      <c r="O480" s="2"/>
    </row>
    <row r="481" spans="1:15" ht="105" outlineLevel="1" x14ac:dyDescent="0.25">
      <c r="A481" s="2" t="s">
        <v>1129</v>
      </c>
      <c r="B481" s="4" t="s">
        <v>2240</v>
      </c>
      <c r="C481" s="2" t="s">
        <v>2241</v>
      </c>
      <c r="D481" s="2" t="s">
        <v>2242</v>
      </c>
      <c r="E481" s="3">
        <v>41956</v>
      </c>
      <c r="F481" s="2"/>
      <c r="G481" s="2" t="s">
        <v>2243</v>
      </c>
      <c r="H481" s="2" t="s">
        <v>2244</v>
      </c>
      <c r="I481" s="3">
        <v>41974</v>
      </c>
      <c r="J481" s="2" t="str">
        <f>HYPERLINK("https://docs.wto.org/imrd/directdoc.asp?DDFDocuments/t/G/TBTN14/KEN433.DOC")</f>
        <v>https://docs.wto.org/imrd/directdoc.asp?DDFDocuments/t/G/TBTN14/KEN433.DOC</v>
      </c>
      <c r="K481" s="2" t="str">
        <f>HYPERLINK("https://docs.wto.org/imrd/directdoc.asp?DDFDocuments/u/G/TBTN14/KEN433.DOC")</f>
        <v>https://docs.wto.org/imrd/directdoc.asp?DDFDocuments/u/G/TBTN14/KEN433.DOC</v>
      </c>
      <c r="L481" s="2" t="str">
        <f>HYPERLINK("https://docs.wto.org/imrd/directdoc.asp?DDFDocuments/v/G/TBTN14/KEN433.DOC")</f>
        <v>https://docs.wto.org/imrd/directdoc.asp?DDFDocuments/v/G/TBTN14/KEN433.DOC</v>
      </c>
      <c r="M481" s="2" t="str">
        <f>HYPERLINK("http://www.epingalert.org/#/details/G/TBT/N/KEN/433")</f>
        <v>http://www.epingalert.org/#/details/G/TBT/N/KEN/433</v>
      </c>
      <c r="N481" s="2"/>
      <c r="O481" s="2"/>
    </row>
    <row r="482" spans="1:15" ht="90" outlineLevel="1" x14ac:dyDescent="0.25">
      <c r="A482" s="2" t="s">
        <v>1129</v>
      </c>
      <c r="B482" s="4" t="s">
        <v>2249</v>
      </c>
      <c r="C482" s="2" t="s">
        <v>2250</v>
      </c>
      <c r="D482" s="2" t="s">
        <v>2251</v>
      </c>
      <c r="E482" s="3">
        <v>41954</v>
      </c>
      <c r="F482" s="2" t="s">
        <v>2252</v>
      </c>
      <c r="G482" s="2" t="s">
        <v>1926</v>
      </c>
      <c r="H482" s="2" t="s">
        <v>30</v>
      </c>
      <c r="I482" s="3">
        <v>42014</v>
      </c>
      <c r="J482" s="2" t="str">
        <f>HYPERLINK("https://docs.wto.org/imrd/directdoc.asp?DDFDocuments/t/G/TBTN14/KEN427.DOC")</f>
        <v>https://docs.wto.org/imrd/directdoc.asp?DDFDocuments/t/G/TBTN14/KEN427.DOC</v>
      </c>
      <c r="K482" s="2" t="str">
        <f>HYPERLINK("https://docs.wto.org/imrd/directdoc.asp?DDFDocuments/u/G/TBTN14/KEN427.DOC")</f>
        <v>https://docs.wto.org/imrd/directdoc.asp?DDFDocuments/u/G/TBTN14/KEN427.DOC</v>
      </c>
      <c r="L482" s="2" t="str">
        <f>HYPERLINK("https://docs.wto.org/imrd/directdoc.asp?DDFDocuments/v/G/TBTN14/KEN427.DOC")</f>
        <v>https://docs.wto.org/imrd/directdoc.asp?DDFDocuments/v/G/TBTN14/KEN427.DOC</v>
      </c>
      <c r="M482" s="2" t="str">
        <f>HYPERLINK("http://www.epingalert.org/#/details/G/TBT/N/KEN/427")</f>
        <v>http://www.epingalert.org/#/details/G/TBT/N/KEN/427</v>
      </c>
      <c r="N482" s="2"/>
      <c r="O482" s="2"/>
    </row>
    <row r="483" spans="1:15" ht="90" outlineLevel="1" x14ac:dyDescent="0.25">
      <c r="A483" s="2" t="s">
        <v>1129</v>
      </c>
      <c r="B483" s="4" t="s">
        <v>2253</v>
      </c>
      <c r="C483" s="2" t="s">
        <v>2254</v>
      </c>
      <c r="D483" s="2" t="s">
        <v>2255</v>
      </c>
      <c r="E483" s="3">
        <v>41954</v>
      </c>
      <c r="F483" s="2"/>
      <c r="G483" s="2" t="s">
        <v>2219</v>
      </c>
      <c r="H483" s="2" t="s">
        <v>30</v>
      </c>
      <c r="I483" s="3">
        <v>42005</v>
      </c>
      <c r="J483" s="2" t="str">
        <f>HYPERLINK("https://docs.wto.org/imrd/directdoc.asp?DDFDocuments/t/G/TBTN14/KEN429.DOC")</f>
        <v>https://docs.wto.org/imrd/directdoc.asp?DDFDocuments/t/G/TBTN14/KEN429.DOC</v>
      </c>
      <c r="K483" s="2" t="str">
        <f>HYPERLINK("https://docs.wto.org/imrd/directdoc.asp?DDFDocuments/u/G/TBTN14/KEN429.DOC")</f>
        <v>https://docs.wto.org/imrd/directdoc.asp?DDFDocuments/u/G/TBTN14/KEN429.DOC</v>
      </c>
      <c r="L483" s="2" t="str">
        <f>HYPERLINK("https://docs.wto.org/imrd/directdoc.asp?DDFDocuments/v/G/TBTN14/KEN429.DOC")</f>
        <v>https://docs.wto.org/imrd/directdoc.asp?DDFDocuments/v/G/TBTN14/KEN429.DOC</v>
      </c>
      <c r="M483" s="2" t="str">
        <f>HYPERLINK("http://www.epingalert.org/#/details/G/TBT/N/KEN/429")</f>
        <v>http://www.epingalert.org/#/details/G/TBT/N/KEN/429</v>
      </c>
      <c r="N483" s="2"/>
      <c r="O483" s="2"/>
    </row>
    <row r="484" spans="1:15" ht="180" outlineLevel="1" x14ac:dyDescent="0.25">
      <c r="A484" s="2" t="s">
        <v>181</v>
      </c>
      <c r="B484" s="4" t="s">
        <v>907</v>
      </c>
      <c r="C484" s="2" t="s">
        <v>908</v>
      </c>
      <c r="D484" s="2" t="s">
        <v>909</v>
      </c>
      <c r="E484" s="3">
        <v>41953</v>
      </c>
      <c r="F484" s="2" t="s">
        <v>910</v>
      </c>
      <c r="G484" s="2"/>
      <c r="H484" s="2" t="s">
        <v>30</v>
      </c>
      <c r="I484" s="3">
        <v>42013</v>
      </c>
      <c r="J484" s="2" t="str">
        <f>HYPERLINK("https://docs.wto.org/imrd/directdoc.asp?DDFDocuments/t/G/TBTN14/BHR373.DOC")</f>
        <v>https://docs.wto.org/imrd/directdoc.asp?DDFDocuments/t/G/TBTN14/BHR373.DOC</v>
      </c>
      <c r="K484" s="2" t="str">
        <f>HYPERLINK("https://docs.wto.org/imrd/directdoc.asp?DDFDocuments/u/G/TBTN14/BHR373.DOC")</f>
        <v>https://docs.wto.org/imrd/directdoc.asp?DDFDocuments/u/G/TBTN14/BHR373.DOC</v>
      </c>
      <c r="L484" s="2" t="str">
        <f>HYPERLINK("https://docs.wto.org/imrd/directdoc.asp?DDFDocuments/v/G/TBTN14/BHR373.DOC")</f>
        <v>https://docs.wto.org/imrd/directdoc.asp?DDFDocuments/v/G/TBTN14/BHR373.DOC</v>
      </c>
      <c r="M484" s="2" t="str">
        <f>HYPERLINK("http://www.epingalert.org/#/details/G/TBT/N/BHR/373")</f>
        <v>http://www.epingalert.org/#/details/G/TBT/N/BHR/373</v>
      </c>
      <c r="N484" s="2"/>
      <c r="O484" s="2"/>
    </row>
    <row r="485" spans="1:15" ht="255" outlineLevel="1" x14ac:dyDescent="0.25">
      <c r="A485" s="2" t="s">
        <v>181</v>
      </c>
      <c r="B485" s="4" t="s">
        <v>911</v>
      </c>
      <c r="C485" s="2" t="s">
        <v>912</v>
      </c>
      <c r="D485" s="2" t="s">
        <v>913</v>
      </c>
      <c r="E485" s="3">
        <v>41953</v>
      </c>
      <c r="F485" s="2" t="s">
        <v>914</v>
      </c>
      <c r="G485" s="2"/>
      <c r="H485" s="2" t="s">
        <v>915</v>
      </c>
      <c r="I485" s="3">
        <v>42013</v>
      </c>
      <c r="J485" s="2" t="str">
        <f>HYPERLINK("https://docs.wto.org/imrd/directdoc.asp?DDFDocuments/t/G/TBTN14/BHR371.DOC")</f>
        <v>https://docs.wto.org/imrd/directdoc.asp?DDFDocuments/t/G/TBTN14/BHR371.DOC</v>
      </c>
      <c r="K485" s="2" t="str">
        <f>HYPERLINK("https://docs.wto.org/imrd/directdoc.asp?DDFDocuments/u/G/TBTN14/BHR371.DOC")</f>
        <v>https://docs.wto.org/imrd/directdoc.asp?DDFDocuments/u/G/TBTN14/BHR371.DOC</v>
      </c>
      <c r="L485" s="2" t="str">
        <f>HYPERLINK("https://docs.wto.org/imrd/directdoc.asp?DDFDocuments/v/G/TBTN14/BHR371.DOC")</f>
        <v>https://docs.wto.org/imrd/directdoc.asp?DDFDocuments/v/G/TBTN14/BHR371.DOC</v>
      </c>
      <c r="M485" s="2" t="str">
        <f>HYPERLINK("http://www.epingalert.org/#/details/G/TBT/N/BHR/371")</f>
        <v>http://www.epingalert.org/#/details/G/TBT/N/BHR/371</v>
      </c>
      <c r="N485" s="2"/>
      <c r="O485" s="2"/>
    </row>
    <row r="486" spans="1:15" ht="360" outlineLevel="1" x14ac:dyDescent="0.25">
      <c r="A486" s="2" t="s">
        <v>181</v>
      </c>
      <c r="B486" s="4" t="s">
        <v>1565</v>
      </c>
      <c r="C486" s="2" t="s">
        <v>1566</v>
      </c>
      <c r="D486" s="2" t="s">
        <v>1567</v>
      </c>
      <c r="E486" s="3">
        <v>41953</v>
      </c>
      <c r="F486" s="2" t="s">
        <v>1568</v>
      </c>
      <c r="G486" s="2"/>
      <c r="H486" s="2" t="s">
        <v>30</v>
      </c>
      <c r="I486" s="3">
        <v>42013</v>
      </c>
      <c r="J486" s="2" t="str">
        <f>HYPERLINK("https://docs.wto.org/imrd/directdoc.asp?DDFDocuments/t/G/TBTN14/BHR372.DOC")</f>
        <v>https://docs.wto.org/imrd/directdoc.asp?DDFDocuments/t/G/TBTN14/BHR372.DOC</v>
      </c>
      <c r="K486" s="2" t="str">
        <f>HYPERLINK("https://docs.wto.org/imrd/directdoc.asp?DDFDocuments/u/G/TBTN14/BHR372.DOC")</f>
        <v>https://docs.wto.org/imrd/directdoc.asp?DDFDocuments/u/G/TBTN14/BHR372.DOC</v>
      </c>
      <c r="L486" s="2" t="str">
        <f>HYPERLINK("https://docs.wto.org/imrd/directdoc.asp?DDFDocuments/v/G/TBTN14/BHR372.DOC")</f>
        <v>https://docs.wto.org/imrd/directdoc.asp?DDFDocuments/v/G/TBTN14/BHR372.DOC</v>
      </c>
      <c r="M486" s="2" t="str">
        <f>HYPERLINK("http://www.epingalert.org/#/details/G/TBT/N/BHR/372")</f>
        <v>http://www.epingalert.org/#/details/G/TBT/N/BHR/372</v>
      </c>
      <c r="N486" s="2"/>
      <c r="O486" s="2"/>
    </row>
    <row r="487" spans="1:15" ht="60" outlineLevel="1" x14ac:dyDescent="0.25">
      <c r="A487" s="2" t="s">
        <v>173</v>
      </c>
      <c r="B487" s="4" t="s">
        <v>1569</v>
      </c>
      <c r="C487" s="2" t="s">
        <v>1570</v>
      </c>
      <c r="D487" s="2" t="s">
        <v>1571</v>
      </c>
      <c r="E487" s="3">
        <v>41950</v>
      </c>
      <c r="F487" s="2" t="s">
        <v>1572</v>
      </c>
      <c r="G487" s="2"/>
      <c r="H487" s="2" t="s">
        <v>17</v>
      </c>
      <c r="I487" s="3">
        <v>42010</v>
      </c>
      <c r="J487" s="2" t="str">
        <f>HYPERLINK("https://docs.wto.org/imrd/directdoc.asp?DDFDocuments/t/G/TBTN14/SAU789.DOC")</f>
        <v>https://docs.wto.org/imrd/directdoc.asp?DDFDocuments/t/G/TBTN14/SAU789.DOC</v>
      </c>
      <c r="K487" s="2" t="str">
        <f>HYPERLINK("https://docs.wto.org/imrd/directdoc.asp?DDFDocuments/u/G/TBTN14/SAU789.DOC")</f>
        <v>https://docs.wto.org/imrd/directdoc.asp?DDFDocuments/u/G/TBTN14/SAU789.DOC</v>
      </c>
      <c r="L487" s="2" t="str">
        <f>HYPERLINK("https://docs.wto.org/imrd/directdoc.asp?DDFDocuments/v/G/TBTN14/SAU789.DOC")</f>
        <v>https://docs.wto.org/imrd/directdoc.asp?DDFDocuments/v/G/TBTN14/SAU789.DOC</v>
      </c>
      <c r="M487" s="2" t="str">
        <f>HYPERLINK("http://www.epingalert.org/#/details/G/TBT/N/SAU/789")</f>
        <v>http://www.epingalert.org/#/details/G/TBT/N/SAU/789</v>
      </c>
      <c r="N487" s="2"/>
      <c r="O487" s="2"/>
    </row>
    <row r="488" spans="1:15" ht="135" outlineLevel="1" x14ac:dyDescent="0.25">
      <c r="A488" s="2" t="s">
        <v>77</v>
      </c>
      <c r="B488" s="4" t="s">
        <v>916</v>
      </c>
      <c r="C488" s="2" t="s">
        <v>917</v>
      </c>
      <c r="D488" s="2" t="s">
        <v>918</v>
      </c>
      <c r="E488" s="3">
        <v>41949</v>
      </c>
      <c r="F488" s="2" t="s">
        <v>919</v>
      </c>
      <c r="G488" s="2"/>
      <c r="H488" s="2" t="s">
        <v>82</v>
      </c>
      <c r="I488" s="3">
        <v>42009</v>
      </c>
      <c r="J488" s="2" t="str">
        <f>HYPERLINK("https://docs.wto.org/imrd/directdoc.asp?DDFDocuments/t/G/TBTN14/TPKM185.DOC")</f>
        <v>https://docs.wto.org/imrd/directdoc.asp?DDFDocuments/t/G/TBTN14/TPKM185.DOC</v>
      </c>
      <c r="K488" s="2" t="str">
        <f>HYPERLINK("https://docs.wto.org/imrd/directdoc.asp?DDFDocuments/u/G/TBTN14/TPKM185.DOC")</f>
        <v>https://docs.wto.org/imrd/directdoc.asp?DDFDocuments/u/G/TBTN14/TPKM185.DOC</v>
      </c>
      <c r="L488" s="2" t="str">
        <f>HYPERLINK("https://docs.wto.org/imrd/directdoc.asp?DDFDocuments/v/G/TBTN14/TPKM185.DOC")</f>
        <v>https://docs.wto.org/imrd/directdoc.asp?DDFDocuments/v/G/TBTN14/TPKM185.DOC</v>
      </c>
      <c r="M488" s="2" t="str">
        <f>HYPERLINK("http://www.epingalert.org/#/details/G/TBT/N/TPKM/185")</f>
        <v>http://www.epingalert.org/#/details/G/TBT/N/TPKM/185</v>
      </c>
      <c r="N488" s="2"/>
      <c r="O488" s="2"/>
    </row>
    <row r="489" spans="1:15" ht="105" outlineLevel="1" x14ac:dyDescent="0.25">
      <c r="A489" s="2" t="s">
        <v>115</v>
      </c>
      <c r="B489" s="4" t="s">
        <v>920</v>
      </c>
      <c r="C489" s="2" t="s">
        <v>921</v>
      </c>
      <c r="D489" s="2" t="s">
        <v>922</v>
      </c>
      <c r="E489" s="3">
        <v>41946</v>
      </c>
      <c r="F489" s="2" t="s">
        <v>923</v>
      </c>
      <c r="G489" s="2"/>
      <c r="H489" s="2" t="s">
        <v>915</v>
      </c>
      <c r="I489" s="3">
        <v>42006</v>
      </c>
      <c r="J489" s="2" t="str">
        <f>HYPERLINK("https://docs.wto.org/imrd/directdoc.asp?DDFDocuments/t/G/TBTN14/JPN470.DOC")</f>
        <v>https://docs.wto.org/imrd/directdoc.asp?DDFDocuments/t/G/TBTN14/JPN470.DOC</v>
      </c>
      <c r="K489" s="2" t="str">
        <f>HYPERLINK("https://docs.wto.org/imrd/directdoc.asp?DDFDocuments/u/G/TBTN14/JPN470.DOC")</f>
        <v>https://docs.wto.org/imrd/directdoc.asp?DDFDocuments/u/G/TBTN14/JPN470.DOC</v>
      </c>
      <c r="L489" s="2" t="str">
        <f>HYPERLINK("https://docs.wto.org/imrd/directdoc.asp?DDFDocuments/v/G/TBTN14/JPN470.DOC")</f>
        <v>https://docs.wto.org/imrd/directdoc.asp?DDFDocuments/v/G/TBTN14/JPN470.DOC</v>
      </c>
      <c r="M489" s="2" t="str">
        <f>HYPERLINK("http://www.epingalert.org/#/details/G/TBT/N/JPN/470")</f>
        <v>http://www.epingalert.org/#/details/G/TBT/N/JPN/470</v>
      </c>
      <c r="N489" s="2"/>
      <c r="O489" s="2"/>
    </row>
    <row r="490" spans="1:15" ht="135" outlineLevel="1" x14ac:dyDescent="0.25">
      <c r="A490" s="2" t="s">
        <v>12</v>
      </c>
      <c r="B490" s="4" t="s">
        <v>924</v>
      </c>
      <c r="C490" s="2" t="s">
        <v>925</v>
      </c>
      <c r="D490" s="2" t="s">
        <v>926</v>
      </c>
      <c r="E490" s="3">
        <v>41934</v>
      </c>
      <c r="F490" s="2" t="s">
        <v>46</v>
      </c>
      <c r="G490" s="2"/>
      <c r="H490" s="2" t="s">
        <v>17</v>
      </c>
      <c r="I490" s="3">
        <v>41994</v>
      </c>
      <c r="J490" s="2" t="str">
        <f>HYPERLINK("https://docs.wto.org/imrd/directdoc.asp?DDFDocuments/t/G/TBTN14/EU247.DOC")</f>
        <v>https://docs.wto.org/imrd/directdoc.asp?DDFDocuments/t/G/TBTN14/EU247.DOC</v>
      </c>
      <c r="K490" s="2" t="str">
        <f>HYPERLINK("https://docs.wto.org/imrd/directdoc.asp?DDFDocuments/u/G/TBTN14/EU247.DOC")</f>
        <v>https://docs.wto.org/imrd/directdoc.asp?DDFDocuments/u/G/TBTN14/EU247.DOC</v>
      </c>
      <c r="L490" s="2" t="str">
        <f>HYPERLINK("https://docs.wto.org/imrd/directdoc.asp?DDFDocuments/v/G/TBTN14/EU247.DOC")</f>
        <v>https://docs.wto.org/imrd/directdoc.asp?DDFDocuments/v/G/TBTN14/EU247.DOC</v>
      </c>
      <c r="M490" s="2" t="str">
        <f>HYPERLINK("http://www.epingalert.org/#/details/G/TBT/N/EU/247")</f>
        <v>http://www.epingalert.org/#/details/G/TBT/N/EU/247</v>
      </c>
      <c r="N490" s="2"/>
      <c r="O490" s="2"/>
    </row>
    <row r="491" spans="1:15" ht="150" outlineLevel="1" x14ac:dyDescent="0.25">
      <c r="A491" s="2" t="s">
        <v>98</v>
      </c>
      <c r="B491" s="4" t="s">
        <v>2256</v>
      </c>
      <c r="C491" s="2" t="s">
        <v>2257</v>
      </c>
      <c r="D491" s="2" t="s">
        <v>2258</v>
      </c>
      <c r="E491" s="3">
        <v>41933</v>
      </c>
      <c r="F491" s="2"/>
      <c r="G491" s="2" t="s">
        <v>2259</v>
      </c>
      <c r="H491" s="2" t="s">
        <v>30</v>
      </c>
      <c r="I491" s="3">
        <v>41993</v>
      </c>
      <c r="J491" s="2" t="str">
        <f>HYPERLINK("https://docs.wto.org/imrd/directdoc.asp?DDFDocuments/t/G/TBTN14/ZAF180.DOC")</f>
        <v>https://docs.wto.org/imrd/directdoc.asp?DDFDocuments/t/G/TBTN14/ZAF180.DOC</v>
      </c>
      <c r="K491" s="2" t="str">
        <f>HYPERLINK("https://docs.wto.org/imrd/directdoc.asp?DDFDocuments/u/G/TBTN14/ZAF180.DOC")</f>
        <v>https://docs.wto.org/imrd/directdoc.asp?DDFDocuments/u/G/TBTN14/ZAF180.DOC</v>
      </c>
      <c r="L491" s="2" t="str">
        <f>HYPERLINK("https://docs.wto.org/imrd/directdoc.asp?DDFDocuments/v/G/TBTN14/ZAF180.DOC")</f>
        <v>https://docs.wto.org/imrd/directdoc.asp?DDFDocuments/v/G/TBTN14/ZAF180.DOC</v>
      </c>
      <c r="M491" s="2" t="str">
        <f>HYPERLINK("http://www.epingalert.org/#/details/G/TBT/N/ZAF/180")</f>
        <v>http://www.epingalert.org/#/details/G/TBT/N/ZAF/180</v>
      </c>
      <c r="N491" s="2"/>
      <c r="O491" s="2"/>
    </row>
    <row r="492" spans="1:15" ht="60" outlineLevel="1" x14ac:dyDescent="0.25">
      <c r="A492" s="2" t="s">
        <v>167</v>
      </c>
      <c r="B492" s="4" t="s">
        <v>2260</v>
      </c>
      <c r="C492" s="2"/>
      <c r="D492" s="2"/>
      <c r="E492" s="3">
        <v>41922</v>
      </c>
      <c r="F492" s="2" t="s">
        <v>2261</v>
      </c>
      <c r="G492" s="2" t="s">
        <v>2262</v>
      </c>
      <c r="H492" s="2" t="s">
        <v>413</v>
      </c>
      <c r="I492" s="3">
        <v>41982</v>
      </c>
      <c r="J492" s="2" t="str">
        <f>HYPERLINK("https://docs.wto.org/imrd/directdoc.asp?DDFDocuments/t/G/TBTN14/NIC142.DOC")</f>
        <v>https://docs.wto.org/imrd/directdoc.asp?DDFDocuments/t/G/TBTN14/NIC142.DOC</v>
      </c>
      <c r="K492" s="2" t="str">
        <f>HYPERLINK("https://docs.wto.org/imrd/directdoc.asp?DDFDocuments/u/G/TBTN14/NIC142.DOC")</f>
        <v>https://docs.wto.org/imrd/directdoc.asp?DDFDocuments/u/G/TBTN14/NIC142.DOC</v>
      </c>
      <c r="L492" s="2" t="str">
        <f>HYPERLINK("https://docs.wto.org/imrd/directdoc.asp?DDFDocuments/v/G/TBTN14/NIC142.DOC")</f>
        <v>https://docs.wto.org/imrd/directdoc.asp?DDFDocuments/v/G/TBTN14/NIC142.DOC</v>
      </c>
      <c r="M492" s="2" t="str">
        <f>HYPERLINK("http://www.epingalert.org/#/details/G/TBT/N/NIC/142")</f>
        <v>http://www.epingalert.org/#/details/G/TBT/N/NIC/142</v>
      </c>
      <c r="N492" s="2"/>
      <c r="O492" s="2"/>
    </row>
    <row r="493" spans="1:15" ht="120" outlineLevel="1" x14ac:dyDescent="0.25">
      <c r="A493" s="2" t="s">
        <v>180</v>
      </c>
      <c r="B493" s="4" t="s">
        <v>927</v>
      </c>
      <c r="C493" s="2" t="s">
        <v>928</v>
      </c>
      <c r="D493" s="2" t="s">
        <v>929</v>
      </c>
      <c r="E493" s="3">
        <v>41918</v>
      </c>
      <c r="F493" s="2" t="s">
        <v>930</v>
      </c>
      <c r="G493" s="2"/>
      <c r="H493" s="2" t="s">
        <v>198</v>
      </c>
      <c r="I493" s="3">
        <v>41978</v>
      </c>
      <c r="J493" s="2" t="str">
        <f>HYPERLINK("https://docs.wto.org/imrd/directdoc.asp?DDFDocuments/t/G/TBTN14/KWT247.DOC")</f>
        <v>https://docs.wto.org/imrd/directdoc.asp?DDFDocuments/t/G/TBTN14/KWT247.DOC</v>
      </c>
      <c r="K493" s="2" t="str">
        <f>HYPERLINK("https://docs.wto.org/imrd/directdoc.asp?DDFDocuments/u/G/TBTN14/KWT247.DOC")</f>
        <v>https://docs.wto.org/imrd/directdoc.asp?DDFDocuments/u/G/TBTN14/KWT247.DOC</v>
      </c>
      <c r="L493" s="2" t="str">
        <f>HYPERLINK("https://docs.wto.org/imrd/directdoc.asp?DDFDocuments/v/G/TBTN14/KWT247.DOC")</f>
        <v>https://docs.wto.org/imrd/directdoc.asp?DDFDocuments/v/G/TBTN14/KWT247.DOC</v>
      </c>
      <c r="M493" s="2" t="str">
        <f>HYPERLINK("http://www.epingalert.org/#/details/G/TBT/N/KWT/247")</f>
        <v>http://www.epingalert.org/#/details/G/TBT/N/KWT/247</v>
      </c>
      <c r="N493" s="2"/>
      <c r="O493" s="2"/>
    </row>
    <row r="494" spans="1:15" ht="90" outlineLevel="1" x14ac:dyDescent="0.25">
      <c r="A494" s="2" t="s">
        <v>179</v>
      </c>
      <c r="B494" s="4" t="s">
        <v>931</v>
      </c>
      <c r="C494" s="2" t="s">
        <v>932</v>
      </c>
      <c r="D494" s="2" t="s">
        <v>933</v>
      </c>
      <c r="E494" s="3">
        <v>41914</v>
      </c>
      <c r="F494" s="2" t="s">
        <v>934</v>
      </c>
      <c r="G494" s="2"/>
      <c r="H494" s="2" t="s">
        <v>17</v>
      </c>
      <c r="I494" s="3">
        <v>41974</v>
      </c>
      <c r="J494" s="2" t="str">
        <f>HYPERLINK("https://docs.wto.org/imrd/directdoc.asp?DDFDocuments/t/G/TBTN14/OMN187.DOC")</f>
        <v>https://docs.wto.org/imrd/directdoc.asp?DDFDocuments/t/G/TBTN14/OMN187.DOC</v>
      </c>
      <c r="K494" s="2" t="str">
        <f>HYPERLINK("https://docs.wto.org/imrd/directdoc.asp?DDFDocuments/u/G/TBTN14/OMN187.DOC")</f>
        <v>https://docs.wto.org/imrd/directdoc.asp?DDFDocuments/u/G/TBTN14/OMN187.DOC</v>
      </c>
      <c r="L494" s="2" t="str">
        <f>HYPERLINK("https://docs.wto.org/imrd/directdoc.asp?DDFDocuments/v/G/TBTN14/OMN187.DOC")</f>
        <v>https://docs.wto.org/imrd/directdoc.asp?DDFDocuments/v/G/TBTN14/OMN187.DOC</v>
      </c>
      <c r="M494" s="2" t="str">
        <f>HYPERLINK("http://www.epingalert.org/#/details/G/TBT/N/OMN/187")</f>
        <v>http://www.epingalert.org/#/details/G/TBT/N/OMN/187</v>
      </c>
      <c r="N494" s="2"/>
      <c r="O494" s="2"/>
    </row>
    <row r="495" spans="1:15" ht="60" outlineLevel="1" x14ac:dyDescent="0.25">
      <c r="A495" s="2" t="s">
        <v>180</v>
      </c>
      <c r="B495" s="4" t="s">
        <v>935</v>
      </c>
      <c r="C495" s="2" t="s">
        <v>936</v>
      </c>
      <c r="D495" s="2" t="s">
        <v>885</v>
      </c>
      <c r="E495" s="3">
        <v>41914</v>
      </c>
      <c r="F495" s="2" t="s">
        <v>886</v>
      </c>
      <c r="G495" s="2"/>
      <c r="H495" s="2" t="s">
        <v>17</v>
      </c>
      <c r="I495" s="3">
        <v>41974</v>
      </c>
      <c r="J495" s="2" t="str">
        <f>HYPERLINK("https://docs.wto.org/imrd/directdoc.asp?DDFDocuments/t/G/TBTN14/KWT242.DOC")</f>
        <v>https://docs.wto.org/imrd/directdoc.asp?DDFDocuments/t/G/TBTN14/KWT242.DOC</v>
      </c>
      <c r="K495" s="2" t="str">
        <f>HYPERLINK("https://docs.wto.org/imrd/directdoc.asp?DDFDocuments/u/G/TBTN14/KWT242.DOC")</f>
        <v>https://docs.wto.org/imrd/directdoc.asp?DDFDocuments/u/G/TBTN14/KWT242.DOC</v>
      </c>
      <c r="L495" s="2" t="str">
        <f>HYPERLINK("https://docs.wto.org/imrd/directdoc.asp?DDFDocuments/v/G/TBTN14/KWT242.DOC")</f>
        <v>https://docs.wto.org/imrd/directdoc.asp?DDFDocuments/v/G/TBTN14/KWT242.DOC</v>
      </c>
      <c r="M495" s="2" t="str">
        <f>HYPERLINK("http://www.epingalert.org/#/details/G/TBT/N/KWT/242")</f>
        <v>http://www.epingalert.org/#/details/G/TBT/N/KWT/242</v>
      </c>
      <c r="N495" s="2"/>
      <c r="O495" s="2"/>
    </row>
    <row r="496" spans="1:15" ht="135" outlineLevel="1" x14ac:dyDescent="0.25">
      <c r="A496" s="2" t="s">
        <v>12</v>
      </c>
      <c r="B496" s="4" t="s">
        <v>937</v>
      </c>
      <c r="C496" s="2" t="s">
        <v>938</v>
      </c>
      <c r="D496" s="2" t="s">
        <v>671</v>
      </c>
      <c r="E496" s="3">
        <v>41908</v>
      </c>
      <c r="F496" s="2" t="s">
        <v>86</v>
      </c>
      <c r="G496" s="2"/>
      <c r="H496" s="2"/>
      <c r="I496" s="3">
        <v>41968</v>
      </c>
      <c r="J496" s="2" t="str">
        <f>HYPERLINK("https://docs.wto.org/imrd/directdoc.asp?DDFDocuments/t/G/TBTN14/EU245.DOC")</f>
        <v>https://docs.wto.org/imrd/directdoc.asp?DDFDocuments/t/G/TBTN14/EU245.DOC</v>
      </c>
      <c r="K496" s="2" t="str">
        <f>HYPERLINK("https://docs.wto.org/imrd/directdoc.asp?DDFDocuments/u/G/TBTN14/EU245.DOC")</f>
        <v>https://docs.wto.org/imrd/directdoc.asp?DDFDocuments/u/G/TBTN14/EU245.DOC</v>
      </c>
      <c r="L496" s="2" t="str">
        <f>HYPERLINK("https://docs.wto.org/imrd/directdoc.asp?DDFDocuments/v/G/TBTN14/EU245.DOC")</f>
        <v>https://docs.wto.org/imrd/directdoc.asp?DDFDocuments/v/G/TBTN14/EU245.DOC</v>
      </c>
      <c r="M496" s="2" t="str">
        <f>HYPERLINK("http://www.epingalert.org/#/details/G/TBT/N/EU/245")</f>
        <v>http://www.epingalert.org/#/details/G/TBT/N/EU/245</v>
      </c>
      <c r="N496" s="2"/>
      <c r="O496" s="2"/>
    </row>
    <row r="497" spans="1:15" ht="135" outlineLevel="1" x14ac:dyDescent="0.25">
      <c r="A497" s="2" t="s">
        <v>12</v>
      </c>
      <c r="B497" s="4" t="s">
        <v>939</v>
      </c>
      <c r="C497" s="2" t="s">
        <v>940</v>
      </c>
      <c r="D497" s="2" t="s">
        <v>941</v>
      </c>
      <c r="E497" s="3">
        <v>41908</v>
      </c>
      <c r="F497" s="2" t="s">
        <v>86</v>
      </c>
      <c r="G497" s="2"/>
      <c r="H497" s="2"/>
      <c r="I497" s="3">
        <v>41968</v>
      </c>
      <c r="J497" s="2" t="str">
        <f>HYPERLINK("https://docs.wto.org/imrd/directdoc.asp?DDFDocuments/t/G/TBTN14/EU244.DOC")</f>
        <v>https://docs.wto.org/imrd/directdoc.asp?DDFDocuments/t/G/TBTN14/EU244.DOC</v>
      </c>
      <c r="K497" s="2" t="str">
        <f>HYPERLINK("https://docs.wto.org/imrd/directdoc.asp?DDFDocuments/u/G/TBTN14/EU244.DOC")</f>
        <v>https://docs.wto.org/imrd/directdoc.asp?DDFDocuments/u/G/TBTN14/EU244.DOC</v>
      </c>
      <c r="L497" s="2" t="str">
        <f>HYPERLINK("https://docs.wto.org/imrd/directdoc.asp?DDFDocuments/v/G/TBTN14/EU244.DOC")</f>
        <v>https://docs.wto.org/imrd/directdoc.asp?DDFDocuments/v/G/TBTN14/EU244.DOC</v>
      </c>
      <c r="M497" s="2" t="str">
        <f>HYPERLINK("http://www.epingalert.org/#/details/G/TBT/N/EU/244")</f>
        <v>http://www.epingalert.org/#/details/G/TBT/N/EU/244</v>
      </c>
      <c r="N497" s="2"/>
      <c r="O497" s="2"/>
    </row>
    <row r="498" spans="1:15" ht="90" outlineLevel="1" x14ac:dyDescent="0.25">
      <c r="A498" s="2" t="s">
        <v>98</v>
      </c>
      <c r="B498" s="4" t="s">
        <v>942</v>
      </c>
      <c r="C498" s="2" t="s">
        <v>943</v>
      </c>
      <c r="D498" s="2" t="s">
        <v>944</v>
      </c>
      <c r="E498" s="3">
        <v>41907</v>
      </c>
      <c r="F498" s="2" t="s">
        <v>945</v>
      </c>
      <c r="G498" s="2" t="s">
        <v>946</v>
      </c>
      <c r="H498" s="2" t="s">
        <v>82</v>
      </c>
      <c r="I498" s="3">
        <v>41967</v>
      </c>
      <c r="J498" s="2" t="str">
        <f>HYPERLINK("https://docs.wto.org/imrd/directdoc.asp?DDFDocuments/t/G/TBTN14/ZAF179.DOC")</f>
        <v>https://docs.wto.org/imrd/directdoc.asp?DDFDocuments/t/G/TBTN14/ZAF179.DOC</v>
      </c>
      <c r="K498" s="2" t="str">
        <f>HYPERLINK("https://docs.wto.org/imrd/directdoc.asp?DDFDocuments/u/G/TBTN14/ZAF179.DOC")</f>
        <v>https://docs.wto.org/imrd/directdoc.asp?DDFDocuments/u/G/TBTN14/ZAF179.DOC</v>
      </c>
      <c r="L498" s="2" t="str">
        <f>HYPERLINK("https://docs.wto.org/imrd/directdoc.asp?DDFDocuments/v/G/TBTN14/ZAF179.DOC")</f>
        <v>https://docs.wto.org/imrd/directdoc.asp?DDFDocuments/v/G/TBTN14/ZAF179.DOC</v>
      </c>
      <c r="M498" s="2" t="str">
        <f>HYPERLINK("http://www.epingalert.org/#/details/G/TBT/N/ZAF/179")</f>
        <v>http://www.epingalert.org/#/details/G/TBT/N/ZAF/179</v>
      </c>
      <c r="N498" s="2"/>
      <c r="O498" s="2"/>
    </row>
    <row r="499" spans="1:15" ht="90" outlineLevel="1" x14ac:dyDescent="0.25">
      <c r="A499" s="2" t="s">
        <v>184</v>
      </c>
      <c r="B499" s="4" t="s">
        <v>1820</v>
      </c>
      <c r="C499" s="2" t="s">
        <v>1821</v>
      </c>
      <c r="D499" s="2" t="s">
        <v>1822</v>
      </c>
      <c r="E499" s="3">
        <v>41907</v>
      </c>
      <c r="F499" s="2" t="s">
        <v>1823</v>
      </c>
      <c r="G499" s="2" t="s">
        <v>1515</v>
      </c>
      <c r="H499" s="2" t="s">
        <v>127</v>
      </c>
      <c r="I499" s="3">
        <v>41967</v>
      </c>
      <c r="J499" s="2" t="str">
        <f>HYPERLINK("https://docs.wto.org/imrd/directdoc.asp?DDFDocuments/t/G/TBTN14/ARE234.DOC")</f>
        <v>https://docs.wto.org/imrd/directdoc.asp?DDFDocuments/t/G/TBTN14/ARE234.DOC</v>
      </c>
      <c r="K499" s="2" t="str">
        <f>HYPERLINK("https://docs.wto.org/imrd/directdoc.asp?DDFDocuments/u/G/TBTN14/ARE234.DOC")</f>
        <v>https://docs.wto.org/imrd/directdoc.asp?DDFDocuments/u/G/TBTN14/ARE234.DOC</v>
      </c>
      <c r="L499" s="2" t="str">
        <f>HYPERLINK("https://docs.wto.org/imrd/directdoc.asp?DDFDocuments/v/G/TBTN14/ARE234.DOC")</f>
        <v>https://docs.wto.org/imrd/directdoc.asp?DDFDocuments/v/G/TBTN14/ARE234.DOC</v>
      </c>
      <c r="M499" s="2" t="str">
        <f>HYPERLINK("http://www.epingalert.org/#/details/G/TBT/N/ARE/234")</f>
        <v>http://www.epingalert.org/#/details/G/TBT/N/ARE/234</v>
      </c>
      <c r="N499" s="2"/>
      <c r="O499" s="2"/>
    </row>
    <row r="500" spans="1:15" ht="90" outlineLevel="1" x14ac:dyDescent="0.25">
      <c r="A500" s="2" t="s">
        <v>184</v>
      </c>
      <c r="B500" s="4" t="s">
        <v>2263</v>
      </c>
      <c r="C500" s="2" t="s">
        <v>2264</v>
      </c>
      <c r="D500" s="2" t="s">
        <v>2265</v>
      </c>
      <c r="E500" s="3">
        <v>41907</v>
      </c>
      <c r="F500" s="2" t="s">
        <v>2266</v>
      </c>
      <c r="G500" s="2" t="s">
        <v>2267</v>
      </c>
      <c r="H500" s="2" t="s">
        <v>127</v>
      </c>
      <c r="I500" s="3">
        <v>41967</v>
      </c>
      <c r="J500" s="2" t="str">
        <f>HYPERLINK("https://docs.wto.org/imrd/directdoc.asp?DDFDocuments/t/G/TBTN14/ARE232.DOC")</f>
        <v>https://docs.wto.org/imrd/directdoc.asp?DDFDocuments/t/G/TBTN14/ARE232.DOC</v>
      </c>
      <c r="K500" s="2" t="str">
        <f>HYPERLINK("https://docs.wto.org/imrd/directdoc.asp?DDFDocuments/u/G/TBTN14/ARE232.DOC")</f>
        <v>https://docs.wto.org/imrd/directdoc.asp?DDFDocuments/u/G/TBTN14/ARE232.DOC</v>
      </c>
      <c r="L500" s="2" t="str">
        <f>HYPERLINK("https://docs.wto.org/imrd/directdoc.asp?DDFDocuments/v/G/TBTN14/ARE232.DOC")</f>
        <v>https://docs.wto.org/imrd/directdoc.asp?DDFDocuments/v/G/TBTN14/ARE232.DOC</v>
      </c>
      <c r="M500" s="2" t="str">
        <f>HYPERLINK("http://www.epingalert.org/#/details/G/TBT/N/ARE/232")</f>
        <v>http://www.epingalert.org/#/details/G/TBT/N/ARE/232</v>
      </c>
      <c r="N500" s="2"/>
      <c r="O500" s="2"/>
    </row>
    <row r="501" spans="1:15" ht="120" outlineLevel="1" x14ac:dyDescent="0.25">
      <c r="A501" s="2" t="s">
        <v>178</v>
      </c>
      <c r="B501" s="4" t="s">
        <v>1573</v>
      </c>
      <c r="C501" s="2" t="s">
        <v>1574</v>
      </c>
      <c r="D501" s="2" t="s">
        <v>1575</v>
      </c>
      <c r="E501" s="3">
        <v>41906</v>
      </c>
      <c r="F501" s="2" t="s">
        <v>1576</v>
      </c>
      <c r="G501" s="2"/>
      <c r="H501" s="2" t="s">
        <v>198</v>
      </c>
      <c r="I501" s="3">
        <v>41966</v>
      </c>
      <c r="J501" s="2" t="str">
        <f>HYPERLINK("https://docs.wto.org/imrd/directdoc.asp?DDFDocuments/t/G/TBTN14/QAT361.DOC")</f>
        <v>https://docs.wto.org/imrd/directdoc.asp?DDFDocuments/t/G/TBTN14/QAT361.DOC</v>
      </c>
      <c r="K501" s="2" t="str">
        <f>HYPERLINK("https://docs.wto.org/imrd/directdoc.asp?DDFDocuments/u/G/TBTN14/QAT361.DOC")</f>
        <v>https://docs.wto.org/imrd/directdoc.asp?DDFDocuments/u/G/TBTN14/QAT361.DOC</v>
      </c>
      <c r="L501" s="2" t="str">
        <f>HYPERLINK("https://docs.wto.org/imrd/directdoc.asp?DDFDocuments/v/G/TBTN14/QAT361.DOC")</f>
        <v>https://docs.wto.org/imrd/directdoc.asp?DDFDocuments/v/G/TBTN14/QAT361.DOC</v>
      </c>
      <c r="M501" s="2" t="str">
        <f>HYPERLINK("http://www.epingalert.org/#/details/G/TBT/N/QAT/361")</f>
        <v>http://www.epingalert.org/#/details/G/TBT/N/QAT/361</v>
      </c>
      <c r="N501" s="2"/>
      <c r="O501" s="2"/>
    </row>
    <row r="502" spans="1:15" ht="120" outlineLevel="1" x14ac:dyDescent="0.25">
      <c r="A502" s="2" t="s">
        <v>178</v>
      </c>
      <c r="B502" s="4" t="s">
        <v>947</v>
      </c>
      <c r="C502" s="2" t="s">
        <v>928</v>
      </c>
      <c r="D502" s="2" t="s">
        <v>948</v>
      </c>
      <c r="E502" s="3">
        <v>41905</v>
      </c>
      <c r="F502" s="2" t="s">
        <v>949</v>
      </c>
      <c r="G502" s="2"/>
      <c r="H502" s="2" t="s">
        <v>198</v>
      </c>
      <c r="I502" s="3">
        <v>41965</v>
      </c>
      <c r="J502" s="2" t="str">
        <f>HYPERLINK("https://docs.wto.org/imrd/directdoc.asp?DDFDocuments/t/G/TBTN14/QAT355.DOC")</f>
        <v>https://docs.wto.org/imrd/directdoc.asp?DDFDocuments/t/G/TBTN14/QAT355.DOC</v>
      </c>
      <c r="K502" s="2" t="str">
        <f>HYPERLINK("https://docs.wto.org/imrd/directdoc.asp?DDFDocuments/u/G/TBTN14/QAT355.DOC")</f>
        <v>https://docs.wto.org/imrd/directdoc.asp?DDFDocuments/u/G/TBTN14/QAT355.DOC</v>
      </c>
      <c r="L502" s="2" t="str">
        <f>HYPERLINK("https://docs.wto.org/imrd/directdoc.asp?DDFDocuments/v/G/TBTN14/QAT355.DOC")</f>
        <v>https://docs.wto.org/imrd/directdoc.asp?DDFDocuments/v/G/TBTN14/QAT355.DOC</v>
      </c>
      <c r="M502" s="2" t="str">
        <f>HYPERLINK("http://www.epingalert.org/#/details/G/TBT/N/QAT/355")</f>
        <v>http://www.epingalert.org/#/details/G/TBT/N/QAT/355</v>
      </c>
      <c r="N502" s="2"/>
      <c r="O502" s="2"/>
    </row>
    <row r="503" spans="1:15" ht="150" outlineLevel="1" x14ac:dyDescent="0.25">
      <c r="A503" s="2" t="s">
        <v>178</v>
      </c>
      <c r="B503" s="4" t="s">
        <v>950</v>
      </c>
      <c r="C503" s="2" t="s">
        <v>951</v>
      </c>
      <c r="D503" s="2" t="s">
        <v>952</v>
      </c>
      <c r="E503" s="3">
        <v>41905</v>
      </c>
      <c r="F503" s="2" t="s">
        <v>953</v>
      </c>
      <c r="G503" s="2"/>
      <c r="H503" s="2" t="s">
        <v>954</v>
      </c>
      <c r="I503" s="3">
        <v>41965</v>
      </c>
      <c r="J503" s="2" t="str">
        <f>HYPERLINK("https://docs.wto.org/imrd/directdoc.asp?DDFDocuments/t/G/TBTN14/QAT352.DOC")</f>
        <v>https://docs.wto.org/imrd/directdoc.asp?DDFDocuments/t/G/TBTN14/QAT352.DOC</v>
      </c>
      <c r="K503" s="2" t="str">
        <f>HYPERLINK("https://docs.wto.org/imrd/directdoc.asp?DDFDocuments/u/G/TBTN14/QAT352.DOC")</f>
        <v>https://docs.wto.org/imrd/directdoc.asp?DDFDocuments/u/G/TBTN14/QAT352.DOC</v>
      </c>
      <c r="L503" s="2" t="str">
        <f>HYPERLINK("https://docs.wto.org/imrd/directdoc.asp?DDFDocuments/v/G/TBTN14/QAT352.DOC")</f>
        <v>https://docs.wto.org/imrd/directdoc.asp?DDFDocuments/v/G/TBTN14/QAT352.DOC</v>
      </c>
      <c r="M503" s="2" t="str">
        <f>HYPERLINK("http://www.epingalert.org/#/details/G/TBT/N/QAT/352")</f>
        <v>http://www.epingalert.org/#/details/G/TBT/N/QAT/352</v>
      </c>
      <c r="N503" s="2"/>
      <c r="O503" s="2"/>
    </row>
    <row r="504" spans="1:15" ht="165" outlineLevel="1" x14ac:dyDescent="0.25">
      <c r="A504" s="2" t="s">
        <v>77</v>
      </c>
      <c r="B504" s="4" t="s">
        <v>960</v>
      </c>
      <c r="C504" s="2" t="s">
        <v>961</v>
      </c>
      <c r="D504" s="2" t="s">
        <v>962</v>
      </c>
      <c r="E504" s="3">
        <v>41901</v>
      </c>
      <c r="F504" s="2" t="s">
        <v>221</v>
      </c>
      <c r="G504" s="2"/>
      <c r="H504" s="2" t="s">
        <v>24</v>
      </c>
      <c r="I504" s="3">
        <v>41961</v>
      </c>
      <c r="J504" s="2" t="str">
        <f>HYPERLINK("https://docs.wto.org/imrd/directdoc.asp?DDFDocuments/t/G/TBTN14/TPKM176.DOC")</f>
        <v>https://docs.wto.org/imrd/directdoc.asp?DDFDocuments/t/G/TBTN14/TPKM176.DOC</v>
      </c>
      <c r="K504" s="2" t="str">
        <f>HYPERLINK("https://docs.wto.org/imrd/directdoc.asp?DDFDocuments/u/G/TBTN14/TPKM176.DOC")</f>
        <v>https://docs.wto.org/imrd/directdoc.asp?DDFDocuments/u/G/TBTN14/TPKM176.DOC</v>
      </c>
      <c r="L504" s="2" t="str">
        <f>HYPERLINK("https://docs.wto.org/imrd/directdoc.asp?DDFDocuments/v/G/TBTN14/TPKM176.DOC")</f>
        <v>https://docs.wto.org/imrd/directdoc.asp?DDFDocuments/v/G/TBTN14/TPKM176.DOC</v>
      </c>
      <c r="M504" s="2" t="str">
        <f>HYPERLINK("http://www.epingalert.org/#/details/G/TBT/N/TPKM/176")</f>
        <v>http://www.epingalert.org/#/details/G/TBT/N/TPKM/176</v>
      </c>
      <c r="N504" s="2"/>
      <c r="O504" s="2"/>
    </row>
    <row r="505" spans="1:15" ht="150" outlineLevel="1" x14ac:dyDescent="0.25">
      <c r="A505" s="2" t="s">
        <v>18</v>
      </c>
      <c r="B505" s="4" t="s">
        <v>955</v>
      </c>
      <c r="C505" s="2" t="s">
        <v>956</v>
      </c>
      <c r="D505" s="2" t="s">
        <v>957</v>
      </c>
      <c r="E505" s="3">
        <v>41901</v>
      </c>
      <c r="F505" s="2" t="s">
        <v>958</v>
      </c>
      <c r="G505" s="2" t="s">
        <v>959</v>
      </c>
      <c r="H505" s="2" t="s">
        <v>17</v>
      </c>
      <c r="I505" s="3">
        <v>41953</v>
      </c>
      <c r="J505" s="2" t="str">
        <f>HYPERLINK("https://docs.wto.org/imrd/directdoc.asp?DDFDocuments/t/G/TBTN14/USA921.DOC")</f>
        <v>https://docs.wto.org/imrd/directdoc.asp?DDFDocuments/t/G/TBTN14/USA921.DOC</v>
      </c>
      <c r="K505" s="2" t="str">
        <f>HYPERLINK("https://docs.wto.org/imrd/directdoc.asp?DDFDocuments/u/G/TBTN14/USA921.DOC")</f>
        <v>https://docs.wto.org/imrd/directdoc.asp?DDFDocuments/u/G/TBTN14/USA921.DOC</v>
      </c>
      <c r="L505" s="2" t="str">
        <f>HYPERLINK("https://docs.wto.org/imrd/directdoc.asp?DDFDocuments/v/G/TBTN14/USA921.DOC")</f>
        <v>https://docs.wto.org/imrd/directdoc.asp?DDFDocuments/v/G/TBTN14/USA921.DOC</v>
      </c>
      <c r="M505" s="2" t="str">
        <f>HYPERLINK("http://www.epingalert.org/#/details/G/TBT/N/USA/921")</f>
        <v>http://www.epingalert.org/#/details/G/TBT/N/USA/921</v>
      </c>
      <c r="N505" s="2"/>
      <c r="O505" s="2"/>
    </row>
    <row r="506" spans="1:15" ht="225" outlineLevel="1" x14ac:dyDescent="0.25">
      <c r="A506" s="2" t="s">
        <v>184</v>
      </c>
      <c r="B506" s="4" t="s">
        <v>963</v>
      </c>
      <c r="C506" s="2" t="s">
        <v>964</v>
      </c>
      <c r="D506" s="2" t="s">
        <v>965</v>
      </c>
      <c r="E506" s="3">
        <v>41899</v>
      </c>
      <c r="F506" s="2" t="s">
        <v>966</v>
      </c>
      <c r="G506" s="2"/>
      <c r="H506" s="2" t="s">
        <v>17</v>
      </c>
      <c r="I506" s="3">
        <v>41959</v>
      </c>
      <c r="J506" s="2" t="str">
        <f>HYPERLINK("https://docs.wto.org/imrd/directdoc.asp?DDFDocuments/t/G/TBTN14/ARE225.DOC")</f>
        <v>https://docs.wto.org/imrd/directdoc.asp?DDFDocuments/t/G/TBTN14/ARE225.DOC</v>
      </c>
      <c r="K506" s="2" t="str">
        <f>HYPERLINK("https://docs.wto.org/imrd/directdoc.asp?DDFDocuments/u/G/TBTN14/ARE225.DOC")</f>
        <v>https://docs.wto.org/imrd/directdoc.asp?DDFDocuments/u/G/TBTN14/ARE225.DOC</v>
      </c>
      <c r="L506" s="2" t="str">
        <f>HYPERLINK("https://docs.wto.org/imrd/directdoc.asp?DDFDocuments/v/G/TBTN14/ARE225.DOC")</f>
        <v>https://docs.wto.org/imrd/directdoc.asp?DDFDocuments/v/G/TBTN14/ARE225.DOC</v>
      </c>
      <c r="M506" s="2" t="str">
        <f>HYPERLINK("http://www.epingalert.org/#/details/G/TBT/N/ARE/225")</f>
        <v>http://www.epingalert.org/#/details/G/TBT/N/ARE/225</v>
      </c>
      <c r="N506" s="2"/>
      <c r="O506" s="2"/>
    </row>
    <row r="507" spans="1:15" ht="409.5" outlineLevel="1" x14ac:dyDescent="0.25">
      <c r="A507" s="2" t="s">
        <v>25</v>
      </c>
      <c r="B507" s="4" t="s">
        <v>967</v>
      </c>
      <c r="C507" s="2" t="s">
        <v>968</v>
      </c>
      <c r="D507" s="2" t="s">
        <v>969</v>
      </c>
      <c r="E507" s="3">
        <v>41899</v>
      </c>
      <c r="F507" s="2" t="s">
        <v>46</v>
      </c>
      <c r="G507" s="2"/>
      <c r="H507" s="2" t="s">
        <v>915</v>
      </c>
      <c r="I507" s="3">
        <v>41959</v>
      </c>
      <c r="J507" s="2" t="str">
        <f>HYPERLINK("https://docs.wto.org/imrd/directdoc.asp?DDFDocuments/t/G/TBTN14/KOR526.DOC")</f>
        <v>https://docs.wto.org/imrd/directdoc.asp?DDFDocuments/t/G/TBTN14/KOR526.DOC</v>
      </c>
      <c r="K507" s="2" t="str">
        <f>HYPERLINK("https://docs.wto.org/imrd/directdoc.asp?DDFDocuments/u/G/TBTN14/KOR526.DOC")</f>
        <v>https://docs.wto.org/imrd/directdoc.asp?DDFDocuments/u/G/TBTN14/KOR526.DOC</v>
      </c>
      <c r="L507" s="2" t="str">
        <f>HYPERLINK("https://docs.wto.org/imrd/directdoc.asp?DDFDocuments/v/G/TBTN14/KOR526.DOC")</f>
        <v>https://docs.wto.org/imrd/directdoc.asp?DDFDocuments/v/G/TBTN14/KOR526.DOC</v>
      </c>
      <c r="M507" s="2" t="str">
        <f>HYPERLINK("http://www.epingalert.org/#/details/G/TBT/N/KOR/526")</f>
        <v>http://www.epingalert.org/#/details/G/TBT/N/KOR/526</v>
      </c>
      <c r="N507" s="2"/>
      <c r="O507" s="2"/>
    </row>
    <row r="508" spans="1:15" ht="120" outlineLevel="1" x14ac:dyDescent="0.25">
      <c r="A508" s="2" t="s">
        <v>77</v>
      </c>
      <c r="B508" s="4" t="s">
        <v>975</v>
      </c>
      <c r="C508" s="2" t="s">
        <v>976</v>
      </c>
      <c r="D508" s="2" t="s">
        <v>977</v>
      </c>
      <c r="E508" s="3">
        <v>41886</v>
      </c>
      <c r="F508" s="2" t="s">
        <v>978</v>
      </c>
      <c r="G508" s="2"/>
      <c r="H508" s="2" t="s">
        <v>82</v>
      </c>
      <c r="I508" s="3">
        <v>41946</v>
      </c>
      <c r="J508" s="2" t="str">
        <f>HYPERLINK("https://docs.wto.org/imrd/directdoc.asp?DDFDocuments/t/G/TBTN14/TPKM174.DOC")</f>
        <v>https://docs.wto.org/imrd/directdoc.asp?DDFDocuments/t/G/TBTN14/TPKM174.DOC</v>
      </c>
      <c r="K508" s="2" t="str">
        <f>HYPERLINK("https://docs.wto.org/imrd/directdoc.asp?DDFDocuments/u/G/TBTN14/TPKM174.DOC")</f>
        <v>https://docs.wto.org/imrd/directdoc.asp?DDFDocuments/u/G/TBTN14/TPKM174.DOC</v>
      </c>
      <c r="L508" s="2" t="str">
        <f>HYPERLINK("https://docs.wto.org/imrd/directdoc.asp?DDFDocuments/v/G/TBTN14/TPKM174.DOC")</f>
        <v>https://docs.wto.org/imrd/directdoc.asp?DDFDocuments/v/G/TBTN14/TPKM174.DOC</v>
      </c>
      <c r="M508" s="2" t="str">
        <f>HYPERLINK("http://www.epingalert.org/#/details/G/TBT/N/TPKM/174")</f>
        <v>http://www.epingalert.org/#/details/G/TBT/N/TPKM/174</v>
      </c>
      <c r="N508" s="2"/>
      <c r="O508" s="2"/>
    </row>
    <row r="509" spans="1:15" ht="330" outlineLevel="1" x14ac:dyDescent="0.25">
      <c r="A509" s="2" t="s">
        <v>970</v>
      </c>
      <c r="B509" s="4" t="s">
        <v>971</v>
      </c>
      <c r="C509" s="2" t="s">
        <v>972</v>
      </c>
      <c r="D509" s="2" t="s">
        <v>973</v>
      </c>
      <c r="E509" s="3">
        <v>41886</v>
      </c>
      <c r="F509" s="2" t="s">
        <v>974</v>
      </c>
      <c r="G509" s="2"/>
      <c r="H509" s="2" t="s">
        <v>120</v>
      </c>
      <c r="I509" s="2"/>
      <c r="J509" s="2" t="str">
        <f>HYPERLINK("https://docs.wto.org/imrd/directdoc.asp?DDFDocuments/t/G/TBTN05/GHA1R1.DOC")</f>
        <v>https://docs.wto.org/imrd/directdoc.asp?DDFDocuments/t/G/TBTN05/GHA1R1.DOC</v>
      </c>
      <c r="K509" s="2" t="str">
        <f>HYPERLINK("https://docs.wto.org/imrd/directdoc.asp?DDFDocuments/u/G/TBTN05/GHA1R1.DOC")</f>
        <v>https://docs.wto.org/imrd/directdoc.asp?DDFDocuments/u/G/TBTN05/GHA1R1.DOC</v>
      </c>
      <c r="L509" s="2" t="str">
        <f>HYPERLINK("https://docs.wto.org/imrd/directdoc.asp?DDFDocuments/v/G/TBTN05/GHA1R1.DOC")</f>
        <v>https://docs.wto.org/imrd/directdoc.asp?DDFDocuments/v/G/TBTN05/GHA1R1.DOC</v>
      </c>
      <c r="M509" s="2" t="str">
        <f>HYPERLINK("http://www.epingalert.org/#/details/G/TBT/N/GHA/1/Rev.1")</f>
        <v>http://www.epingalert.org/#/details/G/TBT/N/GHA/1/Rev.1</v>
      </c>
      <c r="N509" s="2"/>
      <c r="O509" s="2"/>
    </row>
    <row r="510" spans="1:15" ht="120" outlineLevel="1" x14ac:dyDescent="0.25">
      <c r="A510" s="2" t="s">
        <v>115</v>
      </c>
      <c r="B510" s="4" t="s">
        <v>979</v>
      </c>
      <c r="C510" s="2" t="s">
        <v>980</v>
      </c>
      <c r="D510" s="2" t="s">
        <v>981</v>
      </c>
      <c r="E510" s="3">
        <v>41880</v>
      </c>
      <c r="F510" s="2" t="s">
        <v>982</v>
      </c>
      <c r="G510" s="2"/>
      <c r="H510" s="2" t="s">
        <v>127</v>
      </c>
      <c r="I510" s="3">
        <v>41940</v>
      </c>
      <c r="J510" s="2" t="str">
        <f>HYPERLINK("https://docs.wto.org/imrd/directdoc.asp?DDFDocuments/t/G/TBTN14/JPN465.DOC")</f>
        <v>https://docs.wto.org/imrd/directdoc.asp?DDFDocuments/t/G/TBTN14/JPN465.DOC</v>
      </c>
      <c r="K510" s="2" t="str">
        <f>HYPERLINK("https://docs.wto.org/imrd/directdoc.asp?DDFDocuments/u/G/TBTN14/JPN465.DOC")</f>
        <v>https://docs.wto.org/imrd/directdoc.asp?DDFDocuments/u/G/TBTN14/JPN465.DOC</v>
      </c>
      <c r="L510" s="2" t="str">
        <f>HYPERLINK("https://docs.wto.org/imrd/directdoc.asp?DDFDocuments/v/G/TBTN14/JPN465.DOC")</f>
        <v>https://docs.wto.org/imrd/directdoc.asp?DDFDocuments/v/G/TBTN14/JPN465.DOC</v>
      </c>
      <c r="M510" s="2" t="str">
        <f>HYPERLINK("http://www.epingalert.org/#/details/G/TBT/N/JPN/465")</f>
        <v>http://www.epingalert.org/#/details/G/TBT/N/JPN/465</v>
      </c>
      <c r="N510" s="2"/>
      <c r="O510" s="2"/>
    </row>
    <row r="511" spans="1:15" ht="120" outlineLevel="1" x14ac:dyDescent="0.25">
      <c r="A511" s="2" t="s">
        <v>312</v>
      </c>
      <c r="B511" s="4" t="s">
        <v>2268</v>
      </c>
      <c r="C511" s="2" t="s">
        <v>2269</v>
      </c>
      <c r="D511" s="2" t="s">
        <v>2270</v>
      </c>
      <c r="E511" s="3">
        <v>41880</v>
      </c>
      <c r="F511" s="2" t="s">
        <v>2271</v>
      </c>
      <c r="G511" s="2" t="s">
        <v>2272</v>
      </c>
      <c r="H511" s="2" t="s">
        <v>198</v>
      </c>
      <c r="I511" s="3">
        <v>41940</v>
      </c>
      <c r="J511" s="2" t="str">
        <f>HYPERLINK("https://docs.wto.org/imrd/directdoc.asp?DDFDocuments/t/G/TBTN14/UGA432.DOC")</f>
        <v>https://docs.wto.org/imrd/directdoc.asp?DDFDocuments/t/G/TBTN14/UGA432.DOC</v>
      </c>
      <c r="K511" s="2" t="str">
        <f>HYPERLINK("https://docs.wto.org/imrd/directdoc.asp?DDFDocuments/u/G/TBTN14/UGA432.DOC")</f>
        <v>https://docs.wto.org/imrd/directdoc.asp?DDFDocuments/u/G/TBTN14/UGA432.DOC</v>
      </c>
      <c r="L511" s="2" t="str">
        <f>HYPERLINK("https://docs.wto.org/imrd/directdoc.asp?DDFDocuments/v/G/TBTN14/UGA432.DOC")</f>
        <v>https://docs.wto.org/imrd/directdoc.asp?DDFDocuments/v/G/TBTN14/UGA432.DOC</v>
      </c>
      <c r="M511" s="2" t="str">
        <f>HYPERLINK("http://www.epingalert.org/#/details/G/TBT/N/UGA/432")</f>
        <v>http://www.epingalert.org/#/details/G/TBT/N/UGA/432</v>
      </c>
      <c r="N511" s="2"/>
      <c r="O511" s="2"/>
    </row>
    <row r="512" spans="1:15" ht="120" outlineLevel="1" x14ac:dyDescent="0.25">
      <c r="A512" s="2" t="s">
        <v>1129</v>
      </c>
      <c r="B512" s="4" t="s">
        <v>1824</v>
      </c>
      <c r="C512" s="2" t="s">
        <v>1825</v>
      </c>
      <c r="D512" s="2" t="s">
        <v>1826</v>
      </c>
      <c r="E512" s="3">
        <v>41878</v>
      </c>
      <c r="F512" s="2" t="s">
        <v>1827</v>
      </c>
      <c r="G512" s="2" t="s">
        <v>1828</v>
      </c>
      <c r="H512" s="2" t="s">
        <v>17</v>
      </c>
      <c r="I512" s="3">
        <v>41927</v>
      </c>
      <c r="J512" s="2" t="str">
        <f>HYPERLINK("https://docs.wto.org/imrd/directdoc.asp?DDFDocuments/t/G/TBTN14/KEN421.DOC")</f>
        <v>https://docs.wto.org/imrd/directdoc.asp?DDFDocuments/t/G/TBTN14/KEN421.DOC</v>
      </c>
      <c r="K512" s="2" t="str">
        <f>HYPERLINK("https://docs.wto.org/imrd/directdoc.asp?DDFDocuments/u/G/TBTN14/KEN421.DOC")</f>
        <v>https://docs.wto.org/imrd/directdoc.asp?DDFDocuments/u/G/TBTN14/KEN421.DOC</v>
      </c>
      <c r="L512" s="2" t="str">
        <f>HYPERLINK("https://docs.wto.org/imrd/directdoc.asp?DDFDocuments/v/G/TBTN14/KEN421.DOC")</f>
        <v>https://docs.wto.org/imrd/directdoc.asp?DDFDocuments/v/G/TBTN14/KEN421.DOC</v>
      </c>
      <c r="M512" s="2" t="str">
        <f>HYPERLINK("http://www.epingalert.org/#/details/G/TBT/N/KEN/421")</f>
        <v>http://www.epingalert.org/#/details/G/TBT/N/KEN/421</v>
      </c>
      <c r="N512" s="2"/>
      <c r="O512" s="2"/>
    </row>
    <row r="513" spans="1:15" ht="285" outlineLevel="1" x14ac:dyDescent="0.25">
      <c r="A513" s="2" t="s">
        <v>18</v>
      </c>
      <c r="B513" s="4" t="s">
        <v>983</v>
      </c>
      <c r="C513" s="2" t="s">
        <v>984</v>
      </c>
      <c r="D513" s="2" t="s">
        <v>985</v>
      </c>
      <c r="E513" s="3">
        <v>41876</v>
      </c>
      <c r="F513" s="2" t="s">
        <v>986</v>
      </c>
      <c r="G513" s="2" t="s">
        <v>987</v>
      </c>
      <c r="H513" s="2" t="s">
        <v>988</v>
      </c>
      <c r="I513" s="3">
        <v>41939</v>
      </c>
      <c r="J513" s="2" t="str">
        <f>HYPERLINK("https://docs.wto.org/imrd/directdoc.asp?DDFDocuments/t/G/TBTN14/USA917.DOC")</f>
        <v>https://docs.wto.org/imrd/directdoc.asp?DDFDocuments/t/G/TBTN14/USA917.DOC</v>
      </c>
      <c r="K513" s="2" t="str">
        <f>HYPERLINK("https://docs.wto.org/imrd/directdoc.asp?DDFDocuments/u/G/TBTN14/USA917.DOC")</f>
        <v>https://docs.wto.org/imrd/directdoc.asp?DDFDocuments/u/G/TBTN14/USA917.DOC</v>
      </c>
      <c r="L513" s="2" t="str">
        <f>HYPERLINK("https://docs.wto.org/imrd/directdoc.asp?DDFDocuments/v/G/TBTN14/USA917.DOC")</f>
        <v>https://docs.wto.org/imrd/directdoc.asp?DDFDocuments/v/G/TBTN14/USA917.DOC</v>
      </c>
      <c r="M513" s="2" t="str">
        <f>HYPERLINK("http://www.epingalert.org/#/details/G/TBT/N/USA/917")</f>
        <v>http://www.epingalert.org/#/details/G/TBT/N/USA/917</v>
      </c>
      <c r="N513" s="2"/>
      <c r="O513" s="2"/>
    </row>
    <row r="514" spans="1:15" ht="60" outlineLevel="1" x14ac:dyDescent="0.25">
      <c r="A514" s="2" t="s">
        <v>178</v>
      </c>
      <c r="B514" s="4" t="s">
        <v>989</v>
      </c>
      <c r="C514" s="2" t="s">
        <v>990</v>
      </c>
      <c r="D514" s="2" t="s">
        <v>991</v>
      </c>
      <c r="E514" s="3">
        <v>41876</v>
      </c>
      <c r="F514" s="2" t="s">
        <v>992</v>
      </c>
      <c r="G514" s="2"/>
      <c r="H514" s="2" t="s">
        <v>17</v>
      </c>
      <c r="I514" s="3">
        <v>41936</v>
      </c>
      <c r="J514" s="2" t="str">
        <f>HYPERLINK("https://docs.wto.org/imrd/directdoc.asp?DDFDocuments/t/G/TBTN14/QAT351.DOC")</f>
        <v>https://docs.wto.org/imrd/directdoc.asp?DDFDocuments/t/G/TBTN14/QAT351.DOC</v>
      </c>
      <c r="K514" s="2" t="str">
        <f>HYPERLINK("https://docs.wto.org/imrd/directdoc.asp?DDFDocuments/u/G/TBTN14/QAT351.DOC")</f>
        <v>https://docs.wto.org/imrd/directdoc.asp?DDFDocuments/u/G/TBTN14/QAT351.DOC</v>
      </c>
      <c r="L514" s="2" t="str">
        <f>HYPERLINK("https://docs.wto.org/imrd/directdoc.asp?DDFDocuments/v/G/TBTN14/QAT351.DOC")</f>
        <v>https://docs.wto.org/imrd/directdoc.asp?DDFDocuments/v/G/TBTN14/QAT351.DOC</v>
      </c>
      <c r="M514" s="2" t="str">
        <f>HYPERLINK("http://www.epingalert.org/#/details/G/TBT/N/QAT/351")</f>
        <v>http://www.epingalert.org/#/details/G/TBT/N/QAT/351</v>
      </c>
      <c r="N514" s="2"/>
      <c r="O514" s="2"/>
    </row>
    <row r="515" spans="1:15" ht="240" outlineLevel="1" x14ac:dyDescent="0.25">
      <c r="A515" s="2" t="s">
        <v>444</v>
      </c>
      <c r="B515" s="4" t="s">
        <v>993</v>
      </c>
      <c r="C515" s="2" t="s">
        <v>994</v>
      </c>
      <c r="D515" s="2" t="s">
        <v>995</v>
      </c>
      <c r="E515" s="3">
        <v>41876</v>
      </c>
      <c r="F515" s="2" t="s">
        <v>996</v>
      </c>
      <c r="G515" s="2"/>
      <c r="H515" s="2" t="s">
        <v>82</v>
      </c>
      <c r="I515" s="3">
        <v>41936</v>
      </c>
      <c r="J515" s="2" t="str">
        <f>HYPERLINK("https://docs.wto.org/imrd/directdoc.asp?DDFDocuments/t/G/TBTN14/MYS52.DOC")</f>
        <v>https://docs.wto.org/imrd/directdoc.asp?DDFDocuments/t/G/TBTN14/MYS52.DOC</v>
      </c>
      <c r="K515" s="2" t="str">
        <f>HYPERLINK("https://docs.wto.org/imrd/directdoc.asp?DDFDocuments/u/G/TBTN14/MYS52.DOC")</f>
        <v>https://docs.wto.org/imrd/directdoc.asp?DDFDocuments/u/G/TBTN14/MYS52.DOC</v>
      </c>
      <c r="L515" s="2" t="str">
        <f>HYPERLINK("https://docs.wto.org/imrd/directdoc.asp?DDFDocuments/v/G/TBTN14/MYS52.DOC")</f>
        <v>https://docs.wto.org/imrd/directdoc.asp?DDFDocuments/v/G/TBTN14/MYS52.DOC</v>
      </c>
      <c r="M515" s="2" t="str">
        <f>HYPERLINK("http://www.epingalert.org/#/details/G/TBT/N/MYS/52")</f>
        <v>http://www.epingalert.org/#/details/G/TBT/N/MYS/52</v>
      </c>
      <c r="N515" s="2"/>
      <c r="O515" s="2"/>
    </row>
    <row r="516" spans="1:15" ht="60" outlineLevel="1" x14ac:dyDescent="0.25">
      <c r="A516" s="2" t="s">
        <v>178</v>
      </c>
      <c r="B516" s="4" t="s">
        <v>997</v>
      </c>
      <c r="C516" s="2" t="s">
        <v>998</v>
      </c>
      <c r="D516" s="2" t="s">
        <v>999</v>
      </c>
      <c r="E516" s="3">
        <v>41873</v>
      </c>
      <c r="F516" s="2" t="s">
        <v>1000</v>
      </c>
      <c r="G516" s="2"/>
      <c r="H516" s="2" t="s">
        <v>17</v>
      </c>
      <c r="I516" s="3">
        <v>41933</v>
      </c>
      <c r="J516" s="2" t="str">
        <f>HYPERLINK("https://docs.wto.org/imrd/directdoc.asp?DDFDocuments/t/G/TBTN14/QAT344.DOC")</f>
        <v>https://docs.wto.org/imrd/directdoc.asp?DDFDocuments/t/G/TBTN14/QAT344.DOC</v>
      </c>
      <c r="K516" s="2" t="str">
        <f>HYPERLINK("https://docs.wto.org/imrd/directdoc.asp?DDFDocuments/u/G/TBTN14/QAT344.DOC")</f>
        <v>https://docs.wto.org/imrd/directdoc.asp?DDFDocuments/u/G/TBTN14/QAT344.DOC</v>
      </c>
      <c r="L516" s="2" t="str">
        <f>HYPERLINK("https://docs.wto.org/imrd/directdoc.asp?DDFDocuments/v/G/TBTN14/QAT344.DOC")</f>
        <v>https://docs.wto.org/imrd/directdoc.asp?DDFDocuments/v/G/TBTN14/QAT344.DOC</v>
      </c>
      <c r="M516" s="2" t="str">
        <f>HYPERLINK("http://www.epingalert.org/#/details/G/TBT/N/QAT/344")</f>
        <v>http://www.epingalert.org/#/details/G/TBT/N/QAT/344</v>
      </c>
      <c r="N516" s="2"/>
      <c r="O516" s="2"/>
    </row>
    <row r="517" spans="1:15" ht="90" outlineLevel="1" x14ac:dyDescent="0.25">
      <c r="A517" s="2" t="s">
        <v>282</v>
      </c>
      <c r="B517" s="4" t="s">
        <v>1577</v>
      </c>
      <c r="C517" s="2" t="s">
        <v>1578</v>
      </c>
      <c r="D517" s="2" t="s">
        <v>1579</v>
      </c>
      <c r="E517" s="3">
        <v>41871</v>
      </c>
      <c r="F517" s="2" t="s">
        <v>1580</v>
      </c>
      <c r="G517" s="2"/>
      <c r="H517" s="2" t="s">
        <v>30</v>
      </c>
      <c r="I517" s="3">
        <v>41918</v>
      </c>
      <c r="J517" s="2" t="str">
        <f>HYPERLINK("https://docs.wto.org/imrd/directdoc.asp?DDFDocuments/t/G/TBTN14/RUS37.DOC")</f>
        <v>https://docs.wto.org/imrd/directdoc.asp?DDFDocuments/t/G/TBTN14/RUS37.DOC</v>
      </c>
      <c r="K517" s="2" t="str">
        <f>HYPERLINK("https://docs.wto.org/imrd/directdoc.asp?DDFDocuments/u/G/TBTN14/RUS37.DOC")</f>
        <v>https://docs.wto.org/imrd/directdoc.asp?DDFDocuments/u/G/TBTN14/RUS37.DOC</v>
      </c>
      <c r="L517" s="2" t="str">
        <f>HYPERLINK("https://docs.wto.org/imrd/directdoc.asp?DDFDocuments/v/G/TBTN14/RUS37.DOC")</f>
        <v>https://docs.wto.org/imrd/directdoc.asp?DDFDocuments/v/G/TBTN14/RUS37.DOC</v>
      </c>
      <c r="M517" s="2" t="str">
        <f>HYPERLINK("http://www.epingalert.org/#/details/G/TBT/N/RUS/37")</f>
        <v>http://www.epingalert.org/#/details/G/TBT/N/RUS/37</v>
      </c>
      <c r="N517" s="2"/>
      <c r="O517" s="2"/>
    </row>
    <row r="518" spans="1:15" ht="90" outlineLevel="1" x14ac:dyDescent="0.25">
      <c r="A518" s="2" t="s">
        <v>115</v>
      </c>
      <c r="B518" s="4" t="s">
        <v>1001</v>
      </c>
      <c r="C518" s="2" t="s">
        <v>1002</v>
      </c>
      <c r="D518" s="2" t="s">
        <v>1003</v>
      </c>
      <c r="E518" s="3">
        <v>41869</v>
      </c>
      <c r="F518" s="2" t="s">
        <v>1004</v>
      </c>
      <c r="G518" s="2" t="s">
        <v>1005</v>
      </c>
      <c r="H518" s="2" t="s">
        <v>1006</v>
      </c>
      <c r="I518" s="3">
        <v>41929</v>
      </c>
      <c r="J518" s="2" t="str">
        <f>HYPERLINK("https://docs.wto.org/imrd/directdoc.asp?DDFDocuments/t/G/TBTN14/JPN463.DOC")</f>
        <v>https://docs.wto.org/imrd/directdoc.asp?DDFDocuments/t/G/TBTN14/JPN463.DOC</v>
      </c>
      <c r="K518" s="2" t="str">
        <f>HYPERLINK("https://docs.wto.org/imrd/directdoc.asp?DDFDocuments/u/G/TBTN14/JPN463.DOC")</f>
        <v>https://docs.wto.org/imrd/directdoc.asp?DDFDocuments/u/G/TBTN14/JPN463.DOC</v>
      </c>
      <c r="L518" s="2" t="str">
        <f>HYPERLINK("https://docs.wto.org/imrd/directdoc.asp?DDFDocuments/v/G/TBTN14/JPN463.DOC")</f>
        <v>https://docs.wto.org/imrd/directdoc.asp?DDFDocuments/v/G/TBTN14/JPN463.DOC</v>
      </c>
      <c r="M518" s="2" t="str">
        <f>HYPERLINK("http://www.epingalert.org/#/details/G/TBT/N/JPN/463")</f>
        <v>http://www.epingalert.org/#/details/G/TBT/N/JPN/463</v>
      </c>
      <c r="N518" s="2"/>
      <c r="O518" s="2"/>
    </row>
    <row r="519" spans="1:15" ht="90" outlineLevel="1" x14ac:dyDescent="0.25">
      <c r="A519" s="2" t="s">
        <v>77</v>
      </c>
      <c r="B519" s="4" t="s">
        <v>1007</v>
      </c>
      <c r="C519" s="2" t="s">
        <v>1008</v>
      </c>
      <c r="D519" s="2" t="s">
        <v>1009</v>
      </c>
      <c r="E519" s="3">
        <v>41869</v>
      </c>
      <c r="F519" s="2" t="s">
        <v>1010</v>
      </c>
      <c r="G519" s="2"/>
      <c r="H519" s="2" t="s">
        <v>82</v>
      </c>
      <c r="I519" s="3">
        <v>41929</v>
      </c>
      <c r="J519" s="2" t="str">
        <f>HYPERLINK("https://docs.wto.org/imrd/directdoc.asp?DDFDocuments/t/G/TBTN14/TPKM172.DOC")</f>
        <v>https://docs.wto.org/imrd/directdoc.asp?DDFDocuments/t/G/TBTN14/TPKM172.DOC</v>
      </c>
      <c r="K519" s="2" t="str">
        <f>HYPERLINK("https://docs.wto.org/imrd/directdoc.asp?DDFDocuments/u/G/TBTN14/TPKM172.DOC")</f>
        <v>https://docs.wto.org/imrd/directdoc.asp?DDFDocuments/u/G/TBTN14/TPKM172.DOC</v>
      </c>
      <c r="L519" s="2" t="str">
        <f>HYPERLINK("https://docs.wto.org/imrd/directdoc.asp?DDFDocuments/v/G/TBTN14/TPKM172.DOC")</f>
        <v>https://docs.wto.org/imrd/directdoc.asp?DDFDocuments/v/G/TBTN14/TPKM172.DOC</v>
      </c>
      <c r="M519" s="2" t="str">
        <f>HYPERLINK("http://www.epingalert.org/#/details/G/TBT/N/TPKM/172")</f>
        <v>http://www.epingalert.org/#/details/G/TBT/N/TPKM/172</v>
      </c>
      <c r="N519" s="2"/>
      <c r="O519" s="2"/>
    </row>
    <row r="520" spans="1:15" ht="75" outlineLevel="1" x14ac:dyDescent="0.25">
      <c r="A520" s="2" t="s">
        <v>180</v>
      </c>
      <c r="B520" s="4" t="s">
        <v>1011</v>
      </c>
      <c r="C520" s="2" t="s">
        <v>1012</v>
      </c>
      <c r="D520" s="2" t="s">
        <v>1013</v>
      </c>
      <c r="E520" s="3">
        <v>41866</v>
      </c>
      <c r="F520" s="2" t="s">
        <v>1014</v>
      </c>
      <c r="G520" s="2"/>
      <c r="H520" s="2" t="s">
        <v>17</v>
      </c>
      <c r="I520" s="3">
        <v>41926</v>
      </c>
      <c r="J520" s="2" t="str">
        <f>HYPERLINK("https://docs.wto.org/imrd/directdoc.asp?DDFDocuments/t/G/TBTN14/KWT233.DOC")</f>
        <v>https://docs.wto.org/imrd/directdoc.asp?DDFDocuments/t/G/TBTN14/KWT233.DOC</v>
      </c>
      <c r="K520" s="2" t="str">
        <f>HYPERLINK("https://docs.wto.org/imrd/directdoc.asp?DDFDocuments/u/G/TBTN14/KWT233.DOC")</f>
        <v>https://docs.wto.org/imrd/directdoc.asp?DDFDocuments/u/G/TBTN14/KWT233.DOC</v>
      </c>
      <c r="L520" s="2" t="str">
        <f>HYPERLINK("https://docs.wto.org/imrd/directdoc.asp?DDFDocuments/v/G/TBTN14/KWT233.DOC")</f>
        <v>https://docs.wto.org/imrd/directdoc.asp?DDFDocuments/v/G/TBTN14/KWT233.DOC</v>
      </c>
      <c r="M520" s="2" t="str">
        <f>HYPERLINK("http://www.epingalert.org/#/details/G/TBT/N/KWT/233")</f>
        <v>http://www.epingalert.org/#/details/G/TBT/N/KWT/233</v>
      </c>
      <c r="N520" s="2"/>
      <c r="O520" s="2"/>
    </row>
    <row r="521" spans="1:15" ht="75" outlineLevel="1" x14ac:dyDescent="0.25">
      <c r="A521" s="2" t="s">
        <v>180</v>
      </c>
      <c r="B521" s="4" t="s">
        <v>1015</v>
      </c>
      <c r="C521" s="2" t="s">
        <v>1016</v>
      </c>
      <c r="D521" s="2" t="s">
        <v>1017</v>
      </c>
      <c r="E521" s="3">
        <v>41866</v>
      </c>
      <c r="F521" s="2" t="s">
        <v>1018</v>
      </c>
      <c r="G521" s="2"/>
      <c r="H521" s="2" t="s">
        <v>17</v>
      </c>
      <c r="I521" s="3">
        <v>41926</v>
      </c>
      <c r="J521" s="2" t="str">
        <f>HYPERLINK("https://docs.wto.org/imrd/directdoc.asp?DDFDocuments/t/G/TBTN14/KWT232.DOC")</f>
        <v>https://docs.wto.org/imrd/directdoc.asp?DDFDocuments/t/G/TBTN14/KWT232.DOC</v>
      </c>
      <c r="K521" s="2" t="str">
        <f>HYPERLINK("https://docs.wto.org/imrd/directdoc.asp?DDFDocuments/u/G/TBTN14/KWT232.DOC")</f>
        <v>https://docs.wto.org/imrd/directdoc.asp?DDFDocuments/u/G/TBTN14/KWT232.DOC</v>
      </c>
      <c r="L521" s="2" t="str">
        <f>HYPERLINK("https://docs.wto.org/imrd/directdoc.asp?DDFDocuments/v/G/TBTN14/KWT232.DOC")</f>
        <v>https://docs.wto.org/imrd/directdoc.asp?DDFDocuments/v/G/TBTN14/KWT232.DOC</v>
      </c>
      <c r="M521" s="2" t="str">
        <f>HYPERLINK("http://www.epingalert.org/#/details/G/TBT/N/KWT/232")</f>
        <v>http://www.epingalert.org/#/details/G/TBT/N/KWT/232</v>
      </c>
      <c r="N521" s="2"/>
      <c r="O521" s="2"/>
    </row>
    <row r="522" spans="1:15" ht="180" outlineLevel="1" x14ac:dyDescent="0.25">
      <c r="A522" s="2" t="s">
        <v>444</v>
      </c>
      <c r="B522" s="4" t="s">
        <v>1019</v>
      </c>
      <c r="C522" s="2" t="s">
        <v>1020</v>
      </c>
      <c r="D522" s="2" t="s">
        <v>1021</v>
      </c>
      <c r="E522" s="3">
        <v>41862</v>
      </c>
      <c r="F522" s="2" t="s">
        <v>1022</v>
      </c>
      <c r="G522" s="2"/>
      <c r="H522" s="2" t="s">
        <v>82</v>
      </c>
      <c r="I522" s="3">
        <v>41922</v>
      </c>
      <c r="J522" s="2" t="str">
        <f>HYPERLINK("https://docs.wto.org/imrd/directdoc.asp?DDFDocuments/t/G/TBTN14/MYS51.DOC")</f>
        <v>https://docs.wto.org/imrd/directdoc.asp?DDFDocuments/t/G/TBTN14/MYS51.DOC</v>
      </c>
      <c r="K522" s="2" t="str">
        <f>HYPERLINK("https://docs.wto.org/imrd/directdoc.asp?DDFDocuments/u/G/TBTN14/MYS51.DOC")</f>
        <v>https://docs.wto.org/imrd/directdoc.asp?DDFDocuments/u/G/TBTN14/MYS51.DOC</v>
      </c>
      <c r="L522" s="2" t="str">
        <f>HYPERLINK("https://docs.wto.org/imrd/directdoc.asp?DDFDocuments/v/G/TBTN14/MYS51.DOC")</f>
        <v>https://docs.wto.org/imrd/directdoc.asp?DDFDocuments/v/G/TBTN14/MYS51.DOC</v>
      </c>
      <c r="M522" s="2" t="str">
        <f>HYPERLINK("http://www.epingalert.org/#/details/G/TBT/N/MYS/51")</f>
        <v>http://www.epingalert.org/#/details/G/TBT/N/MYS/51</v>
      </c>
      <c r="N522" s="2"/>
      <c r="O522" s="2"/>
    </row>
    <row r="523" spans="1:15" ht="330" outlineLevel="1" x14ac:dyDescent="0.25">
      <c r="A523" s="2" t="s">
        <v>444</v>
      </c>
      <c r="B523" s="4" t="s">
        <v>1023</v>
      </c>
      <c r="C523" s="2" t="s">
        <v>1024</v>
      </c>
      <c r="D523" s="2" t="s">
        <v>1025</v>
      </c>
      <c r="E523" s="3">
        <v>41862</v>
      </c>
      <c r="F523" s="2" t="s">
        <v>1022</v>
      </c>
      <c r="G523" s="2"/>
      <c r="H523" s="2" t="s">
        <v>82</v>
      </c>
      <c r="I523" s="3">
        <v>41922</v>
      </c>
      <c r="J523" s="2" t="str">
        <f>HYPERLINK("https://docs.wto.org/imrd/directdoc.asp?DDFDocuments/t/G/TBTN14/MYS50.DOC")</f>
        <v>https://docs.wto.org/imrd/directdoc.asp?DDFDocuments/t/G/TBTN14/MYS50.DOC</v>
      </c>
      <c r="K523" s="2" t="str">
        <f>HYPERLINK("https://docs.wto.org/imrd/directdoc.asp?DDFDocuments/u/G/TBTN14/MYS50.DOC")</f>
        <v>https://docs.wto.org/imrd/directdoc.asp?DDFDocuments/u/G/TBTN14/MYS50.DOC</v>
      </c>
      <c r="L523" s="2" t="str">
        <f>HYPERLINK("https://docs.wto.org/imrd/directdoc.asp?DDFDocuments/v/G/TBTN14/MYS50.DOC")</f>
        <v>https://docs.wto.org/imrd/directdoc.asp?DDFDocuments/v/G/TBTN14/MYS50.DOC</v>
      </c>
      <c r="M523" s="2" t="str">
        <f>HYPERLINK("http://www.epingalert.org/#/details/G/TBT/N/MYS/50")</f>
        <v>http://www.epingalert.org/#/details/G/TBT/N/MYS/50</v>
      </c>
      <c r="N523" s="2"/>
      <c r="O523" s="2"/>
    </row>
    <row r="524" spans="1:15" ht="60" outlineLevel="1" x14ac:dyDescent="0.25">
      <c r="A524" s="2" t="s">
        <v>444</v>
      </c>
      <c r="B524" s="4" t="s">
        <v>1026</v>
      </c>
      <c r="C524" s="2" t="s">
        <v>1027</v>
      </c>
      <c r="D524" s="2" t="s">
        <v>1028</v>
      </c>
      <c r="E524" s="3">
        <v>41862</v>
      </c>
      <c r="F524" s="2" t="s">
        <v>996</v>
      </c>
      <c r="G524" s="2"/>
      <c r="H524" s="2" t="s">
        <v>1006</v>
      </c>
      <c r="I524" s="3">
        <v>41922</v>
      </c>
      <c r="J524" s="2" t="str">
        <f>HYPERLINK("https://docs.wto.org/imrd/directdoc.asp?DDFDocuments/t/G/TBTN14/MYS49.DOC")</f>
        <v>https://docs.wto.org/imrd/directdoc.asp?DDFDocuments/t/G/TBTN14/MYS49.DOC</v>
      </c>
      <c r="K524" s="2" t="str">
        <f>HYPERLINK("https://docs.wto.org/imrd/directdoc.asp?DDFDocuments/u/G/TBTN14/MYS49.DOC")</f>
        <v>https://docs.wto.org/imrd/directdoc.asp?DDFDocuments/u/G/TBTN14/MYS49.DOC</v>
      </c>
      <c r="L524" s="2" t="str">
        <f>HYPERLINK("https://docs.wto.org/imrd/directdoc.asp?DDFDocuments/v/G/TBTN14/MYS49.DOC")</f>
        <v>https://docs.wto.org/imrd/directdoc.asp?DDFDocuments/v/G/TBTN14/MYS49.DOC</v>
      </c>
      <c r="M524" s="2" t="str">
        <f>HYPERLINK("http://www.epingalert.org/#/details/G/TBT/N/MYS/49")</f>
        <v>http://www.epingalert.org/#/details/G/TBT/N/MYS/49</v>
      </c>
      <c r="N524" s="2"/>
      <c r="O524" s="2"/>
    </row>
    <row r="525" spans="1:15" ht="210" outlineLevel="1" x14ac:dyDescent="0.25">
      <c r="A525" s="2" t="s">
        <v>444</v>
      </c>
      <c r="B525" s="4" t="s">
        <v>1029</v>
      </c>
      <c r="C525" s="2" t="s">
        <v>1030</v>
      </c>
      <c r="D525" s="2" t="s">
        <v>1031</v>
      </c>
      <c r="E525" s="3">
        <v>41862</v>
      </c>
      <c r="F525" s="2" t="s">
        <v>996</v>
      </c>
      <c r="G525" s="2"/>
      <c r="H525" s="2" t="s">
        <v>1006</v>
      </c>
      <c r="I525" s="3">
        <v>41922</v>
      </c>
      <c r="J525" s="2" t="str">
        <f>HYPERLINK("https://docs.wto.org/imrd/directdoc.asp?DDFDocuments/t/G/TBTN14/MYS47.DOC")</f>
        <v>https://docs.wto.org/imrd/directdoc.asp?DDFDocuments/t/G/TBTN14/MYS47.DOC</v>
      </c>
      <c r="K525" s="2" t="str">
        <f>HYPERLINK("https://docs.wto.org/imrd/directdoc.asp?DDFDocuments/u/G/TBTN14/MYS47.DOC")</f>
        <v>https://docs.wto.org/imrd/directdoc.asp?DDFDocuments/u/G/TBTN14/MYS47.DOC</v>
      </c>
      <c r="L525" s="2" t="str">
        <f>HYPERLINK("https://docs.wto.org/imrd/directdoc.asp?DDFDocuments/v/G/TBTN14/MYS47.DOC")</f>
        <v>https://docs.wto.org/imrd/directdoc.asp?DDFDocuments/v/G/TBTN14/MYS47.DOC</v>
      </c>
      <c r="M525" s="2" t="str">
        <f>HYPERLINK("http://www.epingalert.org/#/details/G/TBT/N/MYS/47")</f>
        <v>http://www.epingalert.org/#/details/G/TBT/N/MYS/47</v>
      </c>
      <c r="N525" s="2"/>
      <c r="O525" s="2"/>
    </row>
    <row r="526" spans="1:15" ht="180" outlineLevel="1" x14ac:dyDescent="0.25">
      <c r="A526" s="2" t="s">
        <v>444</v>
      </c>
      <c r="B526" s="4" t="s">
        <v>1032</v>
      </c>
      <c r="C526" s="2" t="s">
        <v>1033</v>
      </c>
      <c r="D526" s="2" t="s">
        <v>1034</v>
      </c>
      <c r="E526" s="3">
        <v>41862</v>
      </c>
      <c r="F526" s="2" t="s">
        <v>1035</v>
      </c>
      <c r="G526" s="2"/>
      <c r="H526" s="2" t="s">
        <v>82</v>
      </c>
      <c r="I526" s="3">
        <v>41922</v>
      </c>
      <c r="J526" s="2" t="str">
        <f>HYPERLINK("https://docs.wto.org/imrd/directdoc.asp?DDFDocuments/t/G/TBTN14/MYS46.DOC")</f>
        <v>https://docs.wto.org/imrd/directdoc.asp?DDFDocuments/t/G/TBTN14/MYS46.DOC</v>
      </c>
      <c r="K526" s="2" t="str">
        <f>HYPERLINK("https://docs.wto.org/imrd/directdoc.asp?DDFDocuments/u/G/TBTN14/MYS46.DOC")</f>
        <v>https://docs.wto.org/imrd/directdoc.asp?DDFDocuments/u/G/TBTN14/MYS46.DOC</v>
      </c>
      <c r="L526" s="2" t="str">
        <f>HYPERLINK("https://docs.wto.org/imrd/directdoc.asp?DDFDocuments/v/G/TBTN14/MYS46.DOC")</f>
        <v>https://docs.wto.org/imrd/directdoc.asp?DDFDocuments/v/G/TBTN14/MYS46.DOC</v>
      </c>
      <c r="M526" s="2" t="str">
        <f>HYPERLINK("http://www.epingalert.org/#/details/G/TBT/N/MYS/46")</f>
        <v>http://www.epingalert.org/#/details/G/TBT/N/MYS/46</v>
      </c>
      <c r="N526" s="2"/>
      <c r="O526" s="2"/>
    </row>
    <row r="527" spans="1:15" ht="255" outlineLevel="1" x14ac:dyDescent="0.25">
      <c r="A527" s="2" t="s">
        <v>444</v>
      </c>
      <c r="B527" s="4" t="s">
        <v>1036</v>
      </c>
      <c r="C527" s="2" t="s">
        <v>1037</v>
      </c>
      <c r="D527" s="2" t="s">
        <v>1038</v>
      </c>
      <c r="E527" s="3">
        <v>41862</v>
      </c>
      <c r="F527" s="2" t="s">
        <v>1022</v>
      </c>
      <c r="G527" s="2"/>
      <c r="H527" s="2" t="s">
        <v>82</v>
      </c>
      <c r="I527" s="3">
        <v>41922</v>
      </c>
      <c r="J527" s="2" t="str">
        <f>HYPERLINK("https://docs.wto.org/imrd/directdoc.asp?DDFDocuments/t/G/TBTN14/MYS45.DOC")</f>
        <v>https://docs.wto.org/imrd/directdoc.asp?DDFDocuments/t/G/TBTN14/MYS45.DOC</v>
      </c>
      <c r="K527" s="2" t="str">
        <f>HYPERLINK("https://docs.wto.org/imrd/directdoc.asp?DDFDocuments/u/G/TBTN14/MYS45.DOC")</f>
        <v>https://docs.wto.org/imrd/directdoc.asp?DDFDocuments/u/G/TBTN14/MYS45.DOC</v>
      </c>
      <c r="L527" s="2" t="str">
        <f>HYPERLINK("https://docs.wto.org/imrd/directdoc.asp?DDFDocuments/v/G/TBTN14/MYS45.DOC")</f>
        <v>https://docs.wto.org/imrd/directdoc.asp?DDFDocuments/v/G/TBTN14/MYS45.DOC</v>
      </c>
      <c r="M527" s="2" t="str">
        <f>HYPERLINK("http://www.epingalert.org/#/details/G/TBT/N/MYS/45")</f>
        <v>http://www.epingalert.org/#/details/G/TBT/N/MYS/45</v>
      </c>
      <c r="N527" s="2"/>
      <c r="O527" s="2"/>
    </row>
    <row r="528" spans="1:15" ht="60" outlineLevel="1" x14ac:dyDescent="0.25">
      <c r="A528" s="2" t="s">
        <v>444</v>
      </c>
      <c r="B528" s="4" t="s">
        <v>1039</v>
      </c>
      <c r="C528" s="2" t="s">
        <v>1040</v>
      </c>
      <c r="D528" s="2" t="s">
        <v>1041</v>
      </c>
      <c r="E528" s="3">
        <v>41862</v>
      </c>
      <c r="F528" s="2" t="s">
        <v>996</v>
      </c>
      <c r="G528" s="2"/>
      <c r="H528" s="2" t="s">
        <v>82</v>
      </c>
      <c r="I528" s="3">
        <v>41922</v>
      </c>
      <c r="J528" s="2" t="str">
        <f>HYPERLINK("https://docs.wto.org/imrd/directdoc.asp?DDFDocuments/t/G/TBTN14/MYS48.DOC")</f>
        <v>https://docs.wto.org/imrd/directdoc.asp?DDFDocuments/t/G/TBTN14/MYS48.DOC</v>
      </c>
      <c r="K528" s="2" t="str">
        <f>HYPERLINK("https://docs.wto.org/imrd/directdoc.asp?DDFDocuments/u/G/TBTN14/MYS48.DOC")</f>
        <v>https://docs.wto.org/imrd/directdoc.asp?DDFDocuments/u/G/TBTN14/MYS48.DOC</v>
      </c>
      <c r="L528" s="2" t="str">
        <f>HYPERLINK("https://docs.wto.org/imrd/directdoc.asp?DDFDocuments/v/G/TBTN14/MYS48.DOC")</f>
        <v>https://docs.wto.org/imrd/directdoc.asp?DDFDocuments/v/G/TBTN14/MYS48.DOC</v>
      </c>
      <c r="M528" s="2" t="str">
        <f>HYPERLINK("http://www.epingalert.org/#/details/G/TBT/N/MYS/48")</f>
        <v>http://www.epingalert.org/#/details/G/TBT/N/MYS/48</v>
      </c>
      <c r="N528" s="2"/>
      <c r="O528" s="2"/>
    </row>
    <row r="529" spans="1:15" ht="150" outlineLevel="1" x14ac:dyDescent="0.25">
      <c r="A529" s="2" t="s">
        <v>1042</v>
      </c>
      <c r="B529" s="4" t="s">
        <v>1043</v>
      </c>
      <c r="C529" s="2" t="s">
        <v>1044</v>
      </c>
      <c r="D529" s="2" t="s">
        <v>1045</v>
      </c>
      <c r="E529" s="3">
        <v>41856</v>
      </c>
      <c r="F529" s="2" t="s">
        <v>1046</v>
      </c>
      <c r="G529" s="2"/>
      <c r="H529" s="2" t="s">
        <v>17</v>
      </c>
      <c r="I529" s="3">
        <v>41881</v>
      </c>
      <c r="J529" s="2" t="str">
        <f>HYPERLINK("https://docs.wto.org/imrd/directdoc.asp?DDFDocuments/t/G/TBTN14/PHL183.DOC")</f>
        <v>https://docs.wto.org/imrd/directdoc.asp?DDFDocuments/t/G/TBTN14/PHL183.DOC</v>
      </c>
      <c r="K529" s="2" t="str">
        <f>HYPERLINK("https://docs.wto.org/imrd/directdoc.asp?DDFDocuments/u/G/TBTN14/PHL183.DOC")</f>
        <v>https://docs.wto.org/imrd/directdoc.asp?DDFDocuments/u/G/TBTN14/PHL183.DOC</v>
      </c>
      <c r="L529" s="2" t="str">
        <f>HYPERLINK("https://docs.wto.org/imrd/directdoc.asp?DDFDocuments/v/G/TBTN14/PHL183.DOC")</f>
        <v>https://docs.wto.org/imrd/directdoc.asp?DDFDocuments/v/G/TBTN14/PHL183.DOC</v>
      </c>
      <c r="M529" s="2" t="str">
        <f>HYPERLINK("http://www.epingalert.org/#/details/G/TBT/N/PHL/183")</f>
        <v>http://www.epingalert.org/#/details/G/TBT/N/PHL/183</v>
      </c>
      <c r="N529" s="2"/>
      <c r="O529" s="2"/>
    </row>
    <row r="530" spans="1:15" ht="135" outlineLevel="1" x14ac:dyDescent="0.25">
      <c r="A530" s="2" t="s">
        <v>1042</v>
      </c>
      <c r="B530" s="4" t="s">
        <v>1047</v>
      </c>
      <c r="C530" s="2" t="s">
        <v>1048</v>
      </c>
      <c r="D530" s="2" t="s">
        <v>1049</v>
      </c>
      <c r="E530" s="3">
        <v>41856</v>
      </c>
      <c r="F530" s="2" t="s">
        <v>1050</v>
      </c>
      <c r="G530" s="2"/>
      <c r="H530" s="2" t="s">
        <v>17</v>
      </c>
      <c r="I530" s="3">
        <v>41881</v>
      </c>
      <c r="J530" s="2" t="str">
        <f>HYPERLINK("https://docs.wto.org/imrd/directdoc.asp?DDFDocuments/t/G/TBTN14/PHL182.DOC")</f>
        <v>https://docs.wto.org/imrd/directdoc.asp?DDFDocuments/t/G/TBTN14/PHL182.DOC</v>
      </c>
      <c r="K530" s="2" t="str">
        <f>HYPERLINK("https://docs.wto.org/imrd/directdoc.asp?DDFDocuments/u/G/TBTN14/PHL182.DOC")</f>
        <v>https://docs.wto.org/imrd/directdoc.asp?DDFDocuments/u/G/TBTN14/PHL182.DOC</v>
      </c>
      <c r="L530" s="2" t="str">
        <f>HYPERLINK("https://docs.wto.org/imrd/directdoc.asp?DDFDocuments/v/G/TBTN14/PHL182.DOC")</f>
        <v>https://docs.wto.org/imrd/directdoc.asp?DDFDocuments/v/G/TBTN14/PHL182.DOC</v>
      </c>
      <c r="M530" s="2" t="str">
        <f>HYPERLINK("http://www.epingalert.org/#/details/G/TBT/N/PHL/182")</f>
        <v>http://www.epingalert.org/#/details/G/TBT/N/PHL/182</v>
      </c>
      <c r="N530" s="2"/>
      <c r="O530" s="2"/>
    </row>
    <row r="531" spans="1:15" ht="150" outlineLevel="1" x14ac:dyDescent="0.25">
      <c r="A531" s="2" t="s">
        <v>211</v>
      </c>
      <c r="B531" s="4" t="s">
        <v>2273</v>
      </c>
      <c r="C531" s="2" t="s">
        <v>2274</v>
      </c>
      <c r="D531" s="2" t="s">
        <v>2275</v>
      </c>
      <c r="E531" s="3">
        <v>41851</v>
      </c>
      <c r="F531" s="2" t="s">
        <v>2276</v>
      </c>
      <c r="G531" s="2" t="s">
        <v>2277</v>
      </c>
      <c r="H531" s="2" t="s">
        <v>17</v>
      </c>
      <c r="I531" s="3">
        <v>41911</v>
      </c>
      <c r="J531" s="2" t="str">
        <f>HYPERLINK("https://docs.wto.org/imrd/directdoc.asp?DDFDocuments/t/G/TBTN14/NZL70.DOC")</f>
        <v>https://docs.wto.org/imrd/directdoc.asp?DDFDocuments/t/G/TBTN14/NZL70.DOC</v>
      </c>
      <c r="K531" s="2" t="str">
        <f>HYPERLINK("https://docs.wto.org/imrd/directdoc.asp?DDFDocuments/u/G/TBTN14/NZL70.DOC")</f>
        <v>https://docs.wto.org/imrd/directdoc.asp?DDFDocuments/u/G/TBTN14/NZL70.DOC</v>
      </c>
      <c r="L531" s="2" t="str">
        <f>HYPERLINK("https://docs.wto.org/imrd/directdoc.asp?DDFDocuments/v/G/TBTN14/NZL70.DOC")</f>
        <v>https://docs.wto.org/imrd/directdoc.asp?DDFDocuments/v/G/TBTN14/NZL70.DOC</v>
      </c>
      <c r="M531" s="2" t="str">
        <f>HYPERLINK("http://www.epingalert.org/#/details/G/TBT/N/NZL/70")</f>
        <v>http://www.epingalert.org/#/details/G/TBT/N/NZL/70</v>
      </c>
      <c r="N531" s="2"/>
      <c r="O531" s="2"/>
    </row>
    <row r="532" spans="1:15" ht="120" outlineLevel="1" x14ac:dyDescent="0.25">
      <c r="A532" s="2" t="s">
        <v>12</v>
      </c>
      <c r="B532" s="4" t="s">
        <v>1051</v>
      </c>
      <c r="C532" s="2" t="s">
        <v>753</v>
      </c>
      <c r="D532" s="2" t="s">
        <v>1052</v>
      </c>
      <c r="E532" s="3">
        <v>41848</v>
      </c>
      <c r="F532" s="2" t="s">
        <v>86</v>
      </c>
      <c r="G532" s="2"/>
      <c r="H532" s="2" t="s">
        <v>17</v>
      </c>
      <c r="I532" s="3">
        <v>41908</v>
      </c>
      <c r="J532" s="2" t="str">
        <f>HYPERLINK("https://docs.wto.org/imrd/directdoc.asp?DDFDocuments/t/G/TBTN14/EU227.DOC")</f>
        <v>https://docs.wto.org/imrd/directdoc.asp?DDFDocuments/t/G/TBTN14/EU227.DOC</v>
      </c>
      <c r="K532" s="2" t="str">
        <f>HYPERLINK("https://docs.wto.org/imrd/directdoc.asp?DDFDocuments/u/G/TBTN14/EU227.DOC")</f>
        <v>https://docs.wto.org/imrd/directdoc.asp?DDFDocuments/u/G/TBTN14/EU227.DOC</v>
      </c>
      <c r="L532" s="2" t="str">
        <f>HYPERLINK("https://docs.wto.org/imrd/directdoc.asp?DDFDocuments/v/G/TBTN14/EU227.DOC")</f>
        <v>https://docs.wto.org/imrd/directdoc.asp?DDFDocuments/v/G/TBTN14/EU227.DOC</v>
      </c>
      <c r="M532" s="2" t="str">
        <f>HYPERLINK("http://www.epingalert.org/#/details/G/TBT/N/EU/227")</f>
        <v>http://www.epingalert.org/#/details/G/TBT/N/EU/227</v>
      </c>
      <c r="N532" s="2"/>
      <c r="O532" s="2"/>
    </row>
    <row r="533" spans="1:15" ht="75" outlineLevel="1" x14ac:dyDescent="0.25">
      <c r="A533" s="2" t="s">
        <v>173</v>
      </c>
      <c r="B533" s="4" t="s">
        <v>1053</v>
      </c>
      <c r="C533" s="2" t="s">
        <v>1054</v>
      </c>
      <c r="D533" s="2" t="s">
        <v>1055</v>
      </c>
      <c r="E533" s="3">
        <v>41848</v>
      </c>
      <c r="F533" s="2" t="s">
        <v>1056</v>
      </c>
      <c r="G533" s="2"/>
      <c r="H533" s="2" t="s">
        <v>17</v>
      </c>
      <c r="I533" s="3">
        <v>41908</v>
      </c>
      <c r="J533" s="2" t="str">
        <f>HYPERLINK("https://docs.wto.org/imrd/directdoc.asp?DDFDocuments/t/G/TBTN14/SAU773.DOC")</f>
        <v>https://docs.wto.org/imrd/directdoc.asp?DDFDocuments/t/G/TBTN14/SAU773.DOC</v>
      </c>
      <c r="K533" s="2" t="str">
        <f>HYPERLINK("https://docs.wto.org/imrd/directdoc.asp?DDFDocuments/u/G/TBTN14/SAU773.DOC")</f>
        <v>https://docs.wto.org/imrd/directdoc.asp?DDFDocuments/u/G/TBTN14/SAU773.DOC</v>
      </c>
      <c r="L533" s="2" t="str">
        <f>HYPERLINK("https://docs.wto.org/imrd/directdoc.asp?DDFDocuments/v/G/TBTN14/SAU773.DOC")</f>
        <v>https://docs.wto.org/imrd/directdoc.asp?DDFDocuments/v/G/TBTN14/SAU773.DOC</v>
      </c>
      <c r="M533" s="2" t="str">
        <f>HYPERLINK("http://www.epingalert.org/#/details/G/TBT/N/SAU/773")</f>
        <v>http://www.epingalert.org/#/details/G/TBT/N/SAU/773</v>
      </c>
      <c r="N533" s="2"/>
      <c r="O533" s="2"/>
    </row>
    <row r="534" spans="1:15" ht="75" outlineLevel="1" x14ac:dyDescent="0.25">
      <c r="A534" s="2" t="s">
        <v>173</v>
      </c>
      <c r="B534" s="4" t="s">
        <v>1057</v>
      </c>
      <c r="C534" s="2" t="s">
        <v>1058</v>
      </c>
      <c r="D534" s="2" t="s">
        <v>1059</v>
      </c>
      <c r="E534" s="3">
        <v>41848</v>
      </c>
      <c r="F534" s="2" t="s">
        <v>1060</v>
      </c>
      <c r="G534" s="2"/>
      <c r="H534" s="2" t="s">
        <v>17</v>
      </c>
      <c r="I534" s="3">
        <v>41908</v>
      </c>
      <c r="J534" s="2" t="str">
        <f>HYPERLINK("https://docs.wto.org/imrd/directdoc.asp?DDFDocuments/t/G/TBTN14/SAU772.DOC")</f>
        <v>https://docs.wto.org/imrd/directdoc.asp?DDFDocuments/t/G/TBTN14/SAU772.DOC</v>
      </c>
      <c r="K534" s="2" t="str">
        <f>HYPERLINK("https://docs.wto.org/imrd/directdoc.asp?DDFDocuments/u/G/TBTN14/SAU772.DOC")</f>
        <v>https://docs.wto.org/imrd/directdoc.asp?DDFDocuments/u/G/TBTN14/SAU772.DOC</v>
      </c>
      <c r="L534" s="2" t="str">
        <f>HYPERLINK("https://docs.wto.org/imrd/directdoc.asp?DDFDocuments/v/G/TBTN14/SAU772.DOC")</f>
        <v>https://docs.wto.org/imrd/directdoc.asp?DDFDocuments/v/G/TBTN14/SAU772.DOC</v>
      </c>
      <c r="M534" s="2" t="str">
        <f>HYPERLINK("http://www.epingalert.org/#/details/G/TBT/N/SAU/772")</f>
        <v>http://www.epingalert.org/#/details/G/TBT/N/SAU/772</v>
      </c>
      <c r="N534" s="2"/>
      <c r="O534" s="2"/>
    </row>
    <row r="535" spans="1:15" ht="75" outlineLevel="1" x14ac:dyDescent="0.25">
      <c r="A535" s="2" t="s">
        <v>173</v>
      </c>
      <c r="B535" s="4" t="s">
        <v>1061</v>
      </c>
      <c r="C535" s="2" t="s">
        <v>1062</v>
      </c>
      <c r="D535" s="2" t="s">
        <v>1063</v>
      </c>
      <c r="E535" s="3">
        <v>41848</v>
      </c>
      <c r="F535" s="2" t="s">
        <v>1064</v>
      </c>
      <c r="G535" s="2"/>
      <c r="H535" s="2" t="s">
        <v>17</v>
      </c>
      <c r="I535" s="3">
        <v>41908</v>
      </c>
      <c r="J535" s="2" t="str">
        <f>HYPERLINK("https://docs.wto.org/imrd/directdoc.asp?DDFDocuments/t/G/TBTN14/SAU771.DOC")</f>
        <v>https://docs.wto.org/imrd/directdoc.asp?DDFDocuments/t/G/TBTN14/SAU771.DOC</v>
      </c>
      <c r="K535" s="2" t="str">
        <f>HYPERLINK("https://docs.wto.org/imrd/directdoc.asp?DDFDocuments/u/G/TBTN14/SAU771.DOC")</f>
        <v>https://docs.wto.org/imrd/directdoc.asp?DDFDocuments/u/G/TBTN14/SAU771.DOC</v>
      </c>
      <c r="L535" s="2" t="str">
        <f>HYPERLINK("https://docs.wto.org/imrd/directdoc.asp?DDFDocuments/v/G/TBTN14/SAU771.DOC")</f>
        <v>https://docs.wto.org/imrd/directdoc.asp?DDFDocuments/v/G/TBTN14/SAU771.DOC</v>
      </c>
      <c r="M535" s="2" t="str">
        <f>HYPERLINK("http://www.epingalert.org/#/details/G/TBT/N/SAU/771")</f>
        <v>http://www.epingalert.org/#/details/G/TBT/N/SAU/771</v>
      </c>
      <c r="N535" s="2"/>
      <c r="O535" s="2"/>
    </row>
    <row r="536" spans="1:15" ht="75" outlineLevel="1" x14ac:dyDescent="0.25">
      <c r="A536" s="2" t="s">
        <v>173</v>
      </c>
      <c r="B536" s="4" t="s">
        <v>1065</v>
      </c>
      <c r="C536" s="2" t="s">
        <v>1066</v>
      </c>
      <c r="D536" s="2" t="s">
        <v>1067</v>
      </c>
      <c r="E536" s="3">
        <v>41845</v>
      </c>
      <c r="F536" s="2" t="s">
        <v>1014</v>
      </c>
      <c r="G536" s="2"/>
      <c r="H536" s="2" t="s">
        <v>17</v>
      </c>
      <c r="I536" s="3">
        <v>41905</v>
      </c>
      <c r="J536" s="2" t="str">
        <f>HYPERLINK("https://docs.wto.org/imrd/directdoc.asp?DDFDocuments/t/G/TBTN14/SAU770.DOC")</f>
        <v>https://docs.wto.org/imrd/directdoc.asp?DDFDocuments/t/G/TBTN14/SAU770.DOC</v>
      </c>
      <c r="K536" s="2" t="str">
        <f>HYPERLINK("https://docs.wto.org/imrd/directdoc.asp?DDFDocuments/u/G/TBTN14/SAU770.DOC")</f>
        <v>https://docs.wto.org/imrd/directdoc.asp?DDFDocuments/u/G/TBTN14/SAU770.DOC</v>
      </c>
      <c r="L536" s="2" t="str">
        <f>HYPERLINK("https://docs.wto.org/imrd/directdoc.asp?DDFDocuments/v/G/TBTN14/SAU770.DOC")</f>
        <v>https://docs.wto.org/imrd/directdoc.asp?DDFDocuments/v/G/TBTN14/SAU770.DOC</v>
      </c>
      <c r="M536" s="2" t="str">
        <f>HYPERLINK("http://www.epingalert.org/#/details/G/TBT/N/SAU/770")</f>
        <v>http://www.epingalert.org/#/details/G/TBT/N/SAU/770</v>
      </c>
      <c r="N536" s="2"/>
      <c r="O536" s="2"/>
    </row>
    <row r="537" spans="1:15" ht="90" outlineLevel="1" x14ac:dyDescent="0.25">
      <c r="A537" s="2" t="s">
        <v>173</v>
      </c>
      <c r="B537" s="4" t="s">
        <v>1068</v>
      </c>
      <c r="C537" s="2" t="s">
        <v>1069</v>
      </c>
      <c r="D537" s="2" t="s">
        <v>1070</v>
      </c>
      <c r="E537" s="3">
        <v>41845</v>
      </c>
      <c r="F537" s="2" t="s">
        <v>1071</v>
      </c>
      <c r="G537" s="2"/>
      <c r="H537" s="2" t="s">
        <v>17</v>
      </c>
      <c r="I537" s="3">
        <v>41905</v>
      </c>
      <c r="J537" s="2" t="str">
        <f>HYPERLINK("https://docs.wto.org/imrd/directdoc.asp?DDFDocuments/t/G/TBTN14/SAU769.DOC")</f>
        <v>https://docs.wto.org/imrd/directdoc.asp?DDFDocuments/t/G/TBTN14/SAU769.DOC</v>
      </c>
      <c r="K537" s="2" t="str">
        <f>HYPERLINK("https://docs.wto.org/imrd/directdoc.asp?DDFDocuments/u/G/TBTN14/SAU769.DOC")</f>
        <v>https://docs.wto.org/imrd/directdoc.asp?DDFDocuments/u/G/TBTN14/SAU769.DOC</v>
      </c>
      <c r="L537" s="2" t="str">
        <f>HYPERLINK("https://docs.wto.org/imrd/directdoc.asp?DDFDocuments/v/G/TBTN14/SAU769.DOC")</f>
        <v>https://docs.wto.org/imrd/directdoc.asp?DDFDocuments/v/G/TBTN14/SAU769.DOC</v>
      </c>
      <c r="M537" s="2" t="str">
        <f>HYPERLINK("http://www.epingalert.org/#/details/G/TBT/N/SAU/769")</f>
        <v>http://www.epingalert.org/#/details/G/TBT/N/SAU/769</v>
      </c>
      <c r="N537" s="2"/>
      <c r="O537" s="2"/>
    </row>
    <row r="538" spans="1:15" ht="90" outlineLevel="1" x14ac:dyDescent="0.25">
      <c r="A538" s="2" t="s">
        <v>173</v>
      </c>
      <c r="B538" s="4" t="s">
        <v>1072</v>
      </c>
      <c r="C538" s="2" t="s">
        <v>1073</v>
      </c>
      <c r="D538" s="2" t="s">
        <v>1074</v>
      </c>
      <c r="E538" s="3">
        <v>41845</v>
      </c>
      <c r="F538" s="2" t="s">
        <v>1075</v>
      </c>
      <c r="G538" s="2"/>
      <c r="H538" s="2" t="s">
        <v>17</v>
      </c>
      <c r="I538" s="3">
        <v>41905</v>
      </c>
      <c r="J538" s="2" t="str">
        <f>HYPERLINK("https://docs.wto.org/imrd/directdoc.asp?DDFDocuments/t/G/TBTN14/SAU768.DOC")</f>
        <v>https://docs.wto.org/imrd/directdoc.asp?DDFDocuments/t/G/TBTN14/SAU768.DOC</v>
      </c>
      <c r="K538" s="2" t="str">
        <f>HYPERLINK("https://docs.wto.org/imrd/directdoc.asp?DDFDocuments/u/G/TBTN14/SAU768.DOC")</f>
        <v>https://docs.wto.org/imrd/directdoc.asp?DDFDocuments/u/G/TBTN14/SAU768.DOC</v>
      </c>
      <c r="L538" s="2" t="str">
        <f>HYPERLINK("https://docs.wto.org/imrd/directdoc.asp?DDFDocuments/v/G/TBTN14/SAU768.DOC")</f>
        <v>https://docs.wto.org/imrd/directdoc.asp?DDFDocuments/v/G/TBTN14/SAU768.DOC</v>
      </c>
      <c r="M538" s="2" t="str">
        <f>HYPERLINK("http://www.epingalert.org/#/details/G/TBT/N/SAU/768")</f>
        <v>http://www.epingalert.org/#/details/G/TBT/N/SAU/768</v>
      </c>
      <c r="N538" s="2"/>
      <c r="O538" s="2"/>
    </row>
    <row r="539" spans="1:15" ht="75" outlineLevel="1" x14ac:dyDescent="0.25">
      <c r="A539" s="2" t="s">
        <v>173</v>
      </c>
      <c r="B539" s="4" t="s">
        <v>1076</v>
      </c>
      <c r="C539" s="2" t="s">
        <v>1077</v>
      </c>
      <c r="D539" s="2" t="s">
        <v>1078</v>
      </c>
      <c r="E539" s="3">
        <v>41845</v>
      </c>
      <c r="F539" s="2" t="s">
        <v>1079</v>
      </c>
      <c r="G539" s="2"/>
      <c r="H539" s="2" t="s">
        <v>17</v>
      </c>
      <c r="I539" s="3">
        <v>41905</v>
      </c>
      <c r="J539" s="2" t="str">
        <f>HYPERLINK("https://docs.wto.org/imrd/directdoc.asp?DDFDocuments/t/G/TBTN14/SAU767.DOC")</f>
        <v>https://docs.wto.org/imrd/directdoc.asp?DDFDocuments/t/G/TBTN14/SAU767.DOC</v>
      </c>
      <c r="K539" s="2" t="str">
        <f>HYPERLINK("https://docs.wto.org/imrd/directdoc.asp?DDFDocuments/u/G/TBTN14/SAU767.DOC")</f>
        <v>https://docs.wto.org/imrd/directdoc.asp?DDFDocuments/u/G/TBTN14/SAU767.DOC</v>
      </c>
      <c r="L539" s="2" t="str">
        <f>HYPERLINK("https://docs.wto.org/imrd/directdoc.asp?DDFDocuments/v/G/TBTN14/SAU767.DOC")</f>
        <v>https://docs.wto.org/imrd/directdoc.asp?DDFDocuments/v/G/TBTN14/SAU767.DOC</v>
      </c>
      <c r="M539" s="2" t="str">
        <f>HYPERLINK("http://www.epingalert.org/#/details/G/TBT/N/SAU/767")</f>
        <v>http://www.epingalert.org/#/details/G/TBT/N/SAU/767</v>
      </c>
      <c r="N539" s="2"/>
      <c r="O539" s="2"/>
    </row>
    <row r="540" spans="1:15" ht="75" outlineLevel="1" x14ac:dyDescent="0.25">
      <c r="A540" s="2" t="s">
        <v>173</v>
      </c>
      <c r="B540" s="4" t="s">
        <v>1080</v>
      </c>
      <c r="C540" s="2" t="s">
        <v>1081</v>
      </c>
      <c r="D540" s="2" t="s">
        <v>1082</v>
      </c>
      <c r="E540" s="3">
        <v>41845</v>
      </c>
      <c r="F540" s="2" t="s">
        <v>1083</v>
      </c>
      <c r="G540" s="2"/>
      <c r="H540" s="2" t="s">
        <v>17</v>
      </c>
      <c r="I540" s="3">
        <v>41905</v>
      </c>
      <c r="J540" s="2" t="str">
        <f>HYPERLINK("https://docs.wto.org/imrd/directdoc.asp?DDFDocuments/t/G/TBTN14/SAU766.DOC")</f>
        <v>https://docs.wto.org/imrd/directdoc.asp?DDFDocuments/t/G/TBTN14/SAU766.DOC</v>
      </c>
      <c r="K540" s="2" t="str">
        <f>HYPERLINK("https://docs.wto.org/imrd/directdoc.asp?DDFDocuments/u/G/TBTN14/SAU766.DOC")</f>
        <v>https://docs.wto.org/imrd/directdoc.asp?DDFDocuments/u/G/TBTN14/SAU766.DOC</v>
      </c>
      <c r="L540" s="2" t="str">
        <f>HYPERLINK("https://docs.wto.org/imrd/directdoc.asp?DDFDocuments/v/G/TBTN14/SAU766.DOC")</f>
        <v>https://docs.wto.org/imrd/directdoc.asp?DDFDocuments/v/G/TBTN14/SAU766.DOC</v>
      </c>
      <c r="M540" s="2" t="str">
        <f>HYPERLINK("http://www.epingalert.org/#/details/G/TBT/N/SAU/766")</f>
        <v>http://www.epingalert.org/#/details/G/TBT/N/SAU/766</v>
      </c>
      <c r="N540" s="2"/>
      <c r="O540" s="2"/>
    </row>
    <row r="541" spans="1:15" ht="75" outlineLevel="1" x14ac:dyDescent="0.25">
      <c r="A541" s="2" t="s">
        <v>173</v>
      </c>
      <c r="B541" s="4" t="s">
        <v>1084</v>
      </c>
      <c r="C541" s="2" t="s">
        <v>1085</v>
      </c>
      <c r="D541" s="2" t="s">
        <v>1086</v>
      </c>
      <c r="E541" s="3">
        <v>41845</v>
      </c>
      <c r="F541" s="2" t="s">
        <v>1087</v>
      </c>
      <c r="G541" s="2"/>
      <c r="H541" s="2" t="s">
        <v>17</v>
      </c>
      <c r="I541" s="3">
        <v>41905</v>
      </c>
      <c r="J541" s="2" t="str">
        <f>HYPERLINK("https://docs.wto.org/imrd/directdoc.asp?DDFDocuments/t/G/TBTN14/SAU765.DOC")</f>
        <v>https://docs.wto.org/imrd/directdoc.asp?DDFDocuments/t/G/TBTN14/SAU765.DOC</v>
      </c>
      <c r="K541" s="2" t="str">
        <f>HYPERLINK("https://docs.wto.org/imrd/directdoc.asp?DDFDocuments/u/G/TBTN14/SAU765.DOC")</f>
        <v>https://docs.wto.org/imrd/directdoc.asp?DDFDocuments/u/G/TBTN14/SAU765.DOC</v>
      </c>
      <c r="L541" s="2" t="str">
        <f>HYPERLINK("https://docs.wto.org/imrd/directdoc.asp?DDFDocuments/v/G/TBTN14/SAU765.DOC")</f>
        <v>https://docs.wto.org/imrd/directdoc.asp?DDFDocuments/v/G/TBTN14/SAU765.DOC</v>
      </c>
      <c r="M541" s="2" t="str">
        <f>HYPERLINK("http://www.epingalert.org/#/details/G/TBT/N/SAU/765")</f>
        <v>http://www.epingalert.org/#/details/G/TBT/N/SAU/765</v>
      </c>
      <c r="N541" s="2"/>
      <c r="O541" s="2"/>
    </row>
    <row r="542" spans="1:15" ht="210" outlineLevel="1" x14ac:dyDescent="0.25">
      <c r="A542" s="2" t="s">
        <v>77</v>
      </c>
      <c r="B542" s="4" t="s">
        <v>1088</v>
      </c>
      <c r="C542" s="2" t="s">
        <v>1089</v>
      </c>
      <c r="D542" s="2" t="s">
        <v>1090</v>
      </c>
      <c r="E542" s="3">
        <v>41843</v>
      </c>
      <c r="F542" s="2" t="s">
        <v>1091</v>
      </c>
      <c r="G542" s="2"/>
      <c r="H542" s="2" t="s">
        <v>82</v>
      </c>
      <c r="I542" s="3">
        <v>41903</v>
      </c>
      <c r="J542" s="2" t="str">
        <f>HYPERLINK("https://docs.wto.org/imrd/directdoc.asp?DDFDocuments/t/G/TBTN14/TPKM168.DOC")</f>
        <v>https://docs.wto.org/imrd/directdoc.asp?DDFDocuments/t/G/TBTN14/TPKM168.DOC</v>
      </c>
      <c r="K542" s="2" t="str">
        <f>HYPERLINK("https://docs.wto.org/imrd/directdoc.asp?DDFDocuments/u/G/TBTN14/TPKM168.DOC")</f>
        <v>https://docs.wto.org/imrd/directdoc.asp?DDFDocuments/u/G/TBTN14/TPKM168.DOC</v>
      </c>
      <c r="L542" s="2" t="str">
        <f>HYPERLINK("https://docs.wto.org/imrd/directdoc.asp?DDFDocuments/v/G/TBTN14/TPKM168.DOC")</f>
        <v>https://docs.wto.org/imrd/directdoc.asp?DDFDocuments/v/G/TBTN14/TPKM168.DOC</v>
      </c>
      <c r="M542" s="2" t="str">
        <f>HYPERLINK("http://www.epingalert.org/#/details/G/TBT/N/TPKM/168")</f>
        <v>http://www.epingalert.org/#/details/G/TBT/N/TPKM/168</v>
      </c>
      <c r="N542" s="2"/>
      <c r="O542" s="2"/>
    </row>
    <row r="543" spans="1:15" ht="409.5" outlineLevel="1" x14ac:dyDescent="0.25">
      <c r="A543" s="2" t="s">
        <v>154</v>
      </c>
      <c r="B543" s="4" t="s">
        <v>2278</v>
      </c>
      <c r="C543" s="2" t="s">
        <v>2279</v>
      </c>
      <c r="D543" s="2" t="s">
        <v>2280</v>
      </c>
      <c r="E543" s="3">
        <v>41842</v>
      </c>
      <c r="F543" s="2" t="s">
        <v>2281</v>
      </c>
      <c r="G543" s="2" t="s">
        <v>2282</v>
      </c>
      <c r="H543" s="2" t="s">
        <v>127</v>
      </c>
      <c r="I543" s="3">
        <v>41902</v>
      </c>
      <c r="J543" s="2" t="str">
        <f>HYPERLINK("https://docs.wto.org/imrd/directdoc.asp?DDFDocuments/t/G/TBTN14/IDN86.DOC")</f>
        <v>https://docs.wto.org/imrd/directdoc.asp?DDFDocuments/t/G/TBTN14/IDN86.DOC</v>
      </c>
      <c r="K543" s="2" t="str">
        <f>HYPERLINK("https://docs.wto.org/imrd/directdoc.asp?DDFDocuments/u/G/TBTN14/IDN86.DOC")</f>
        <v>https://docs.wto.org/imrd/directdoc.asp?DDFDocuments/u/G/TBTN14/IDN86.DOC</v>
      </c>
      <c r="L543" s="2" t="str">
        <f>HYPERLINK("https://docs.wto.org/imrd/directdoc.asp?DDFDocuments/v/G/TBTN14/IDN86.DOC")</f>
        <v>https://docs.wto.org/imrd/directdoc.asp?DDFDocuments/v/G/TBTN14/IDN86.DOC</v>
      </c>
      <c r="M543" s="2" t="str">
        <f>HYPERLINK("http://www.epingalert.org/#/details/G/TBT/N/IDN/86")</f>
        <v>http://www.epingalert.org/#/details/G/TBT/N/IDN/86</v>
      </c>
      <c r="N543" s="2"/>
      <c r="O543" s="2"/>
    </row>
    <row r="544" spans="1:15" ht="135" outlineLevel="1" x14ac:dyDescent="0.25">
      <c r="A544" s="2" t="s">
        <v>12</v>
      </c>
      <c r="B544" s="4" t="s">
        <v>1092</v>
      </c>
      <c r="C544" s="2" t="s">
        <v>1093</v>
      </c>
      <c r="D544" s="2" t="s">
        <v>508</v>
      </c>
      <c r="E544" s="3">
        <v>41841</v>
      </c>
      <c r="F544" s="2" t="s">
        <v>86</v>
      </c>
      <c r="G544" s="2"/>
      <c r="H544" s="2" t="s">
        <v>17</v>
      </c>
      <c r="I544" s="3">
        <v>41901</v>
      </c>
      <c r="J544" s="2" t="str">
        <f>HYPERLINK("https://docs.wto.org/imrd/directdoc.asp?DDFDocuments/t/G/TBTN14/EU225.DOC")</f>
        <v>https://docs.wto.org/imrd/directdoc.asp?DDFDocuments/t/G/TBTN14/EU225.DOC</v>
      </c>
      <c r="K544" s="2" t="str">
        <f>HYPERLINK("https://docs.wto.org/imrd/directdoc.asp?DDFDocuments/u/G/TBTN14/EU225.DOC")</f>
        <v>https://docs.wto.org/imrd/directdoc.asp?DDFDocuments/u/G/TBTN14/EU225.DOC</v>
      </c>
      <c r="L544" s="2" t="str">
        <f>HYPERLINK("https://docs.wto.org/imrd/directdoc.asp?DDFDocuments/v/G/TBTN14/EU225.DOC")</f>
        <v>https://docs.wto.org/imrd/directdoc.asp?DDFDocuments/v/G/TBTN14/EU225.DOC</v>
      </c>
      <c r="M544" s="2" t="str">
        <f>HYPERLINK("http://www.epingalert.org/#/details/G/TBT/N/EU/225")</f>
        <v>http://www.epingalert.org/#/details/G/TBT/N/EU/225</v>
      </c>
      <c r="N544" s="2"/>
      <c r="O544" s="2"/>
    </row>
    <row r="545" spans="1:15" ht="165" outlineLevel="1" x14ac:dyDescent="0.25">
      <c r="A545" s="2" t="s">
        <v>179</v>
      </c>
      <c r="B545" s="4" t="s">
        <v>1094</v>
      </c>
      <c r="C545" s="2" t="s">
        <v>1095</v>
      </c>
      <c r="D545" s="2" t="s">
        <v>1096</v>
      </c>
      <c r="E545" s="3">
        <v>41841</v>
      </c>
      <c r="F545" s="2" t="s">
        <v>1097</v>
      </c>
      <c r="G545" s="2"/>
      <c r="H545" s="2" t="s">
        <v>17</v>
      </c>
      <c r="I545" s="3">
        <v>41901</v>
      </c>
      <c r="J545" s="2" t="str">
        <f>HYPERLINK("https://docs.wto.org/imrd/directdoc.asp?DDFDocuments/t/G/TBTN14/OMN174.DOC")</f>
        <v>https://docs.wto.org/imrd/directdoc.asp?DDFDocuments/t/G/TBTN14/OMN174.DOC</v>
      </c>
      <c r="K545" s="2" t="str">
        <f>HYPERLINK("https://docs.wto.org/imrd/directdoc.asp?DDFDocuments/u/G/TBTN14/OMN174.DOC")</f>
        <v>https://docs.wto.org/imrd/directdoc.asp?DDFDocuments/u/G/TBTN14/OMN174.DOC</v>
      </c>
      <c r="L545" s="2" t="str">
        <f>HYPERLINK("https://docs.wto.org/imrd/directdoc.asp?DDFDocuments/v/G/TBTN14/OMN174.DOC")</f>
        <v>https://docs.wto.org/imrd/directdoc.asp?DDFDocuments/v/G/TBTN14/OMN174.DOC</v>
      </c>
      <c r="M545" s="2" t="str">
        <f>HYPERLINK("http://www.epingalert.org/#/details/G/TBT/N/OMN/174")</f>
        <v>http://www.epingalert.org/#/details/G/TBT/N/OMN/174</v>
      </c>
      <c r="N545" s="2"/>
      <c r="O545" s="2"/>
    </row>
    <row r="546" spans="1:15" ht="120" outlineLevel="1" x14ac:dyDescent="0.25">
      <c r="A546" s="2" t="s">
        <v>179</v>
      </c>
      <c r="B546" s="4" t="s">
        <v>1098</v>
      </c>
      <c r="C546" s="2" t="s">
        <v>1099</v>
      </c>
      <c r="D546" s="2" t="s">
        <v>1100</v>
      </c>
      <c r="E546" s="3">
        <v>41841</v>
      </c>
      <c r="F546" s="2" t="s">
        <v>1101</v>
      </c>
      <c r="G546" s="2"/>
      <c r="H546" s="2" t="s">
        <v>17</v>
      </c>
      <c r="I546" s="3">
        <v>41901</v>
      </c>
      <c r="J546" s="2" t="str">
        <f>HYPERLINK("https://docs.wto.org/imrd/directdoc.asp?DDFDocuments/t/G/TBTN14/OMN170.DOC")</f>
        <v>https://docs.wto.org/imrd/directdoc.asp?DDFDocuments/t/G/TBTN14/OMN170.DOC</v>
      </c>
      <c r="K546" s="2" t="str">
        <f>HYPERLINK("https://docs.wto.org/imrd/directdoc.asp?DDFDocuments/u/G/TBTN14/OMN170.DOC")</f>
        <v>https://docs.wto.org/imrd/directdoc.asp?DDFDocuments/u/G/TBTN14/OMN170.DOC</v>
      </c>
      <c r="L546" s="2" t="str">
        <f>HYPERLINK("https://docs.wto.org/imrd/directdoc.asp?DDFDocuments/v/G/TBTN14/OMN170.DOC")</f>
        <v>https://docs.wto.org/imrd/directdoc.asp?DDFDocuments/v/G/TBTN14/OMN170.DOC</v>
      </c>
      <c r="M546" s="2" t="str">
        <f>HYPERLINK("http://www.epingalert.org/#/details/G/TBT/N/OMN/170")</f>
        <v>http://www.epingalert.org/#/details/G/TBT/N/OMN/170</v>
      </c>
      <c r="N546" s="2"/>
      <c r="O546" s="2"/>
    </row>
    <row r="547" spans="1:15" ht="120" outlineLevel="1" x14ac:dyDescent="0.25">
      <c r="A547" s="2" t="s">
        <v>179</v>
      </c>
      <c r="B547" s="4" t="s">
        <v>1102</v>
      </c>
      <c r="C547" s="2" t="s">
        <v>1103</v>
      </c>
      <c r="D547" s="2" t="s">
        <v>1104</v>
      </c>
      <c r="E547" s="3">
        <v>41841</v>
      </c>
      <c r="F547" s="2" t="s">
        <v>1105</v>
      </c>
      <c r="G547" s="2"/>
      <c r="H547" s="2" t="s">
        <v>17</v>
      </c>
      <c r="I547" s="3">
        <v>41901</v>
      </c>
      <c r="J547" s="2" t="str">
        <f>HYPERLINK("https://docs.wto.org/imrd/directdoc.asp?DDFDocuments/t/G/TBTN14/OMN169.DOC")</f>
        <v>https://docs.wto.org/imrd/directdoc.asp?DDFDocuments/t/G/TBTN14/OMN169.DOC</v>
      </c>
      <c r="K547" s="2" t="str">
        <f>HYPERLINK("https://docs.wto.org/imrd/directdoc.asp?DDFDocuments/u/G/TBTN14/OMN169.DOC")</f>
        <v>https://docs.wto.org/imrd/directdoc.asp?DDFDocuments/u/G/TBTN14/OMN169.DOC</v>
      </c>
      <c r="L547" s="2" t="str">
        <f>HYPERLINK("https://docs.wto.org/imrd/directdoc.asp?DDFDocuments/v/G/TBTN14/OMN169.DOC")</f>
        <v>https://docs.wto.org/imrd/directdoc.asp?DDFDocuments/v/G/TBTN14/OMN169.DOC</v>
      </c>
      <c r="M547" s="2" t="str">
        <f>HYPERLINK("http://www.epingalert.org/#/details/G/TBT/N/OMN/169")</f>
        <v>http://www.epingalert.org/#/details/G/TBT/N/OMN/169</v>
      </c>
      <c r="N547" s="2"/>
      <c r="O547" s="2"/>
    </row>
    <row r="548" spans="1:15" ht="60" outlineLevel="1" x14ac:dyDescent="0.25">
      <c r="A548" s="2" t="s">
        <v>180</v>
      </c>
      <c r="B548" s="4" t="s">
        <v>1106</v>
      </c>
      <c r="C548" s="2" t="s">
        <v>1107</v>
      </c>
      <c r="D548" s="2" t="s">
        <v>991</v>
      </c>
      <c r="E548" s="3">
        <v>41836</v>
      </c>
      <c r="F548" s="2" t="s">
        <v>1108</v>
      </c>
      <c r="G548" s="2"/>
      <c r="H548" s="2" t="s">
        <v>17</v>
      </c>
      <c r="I548" s="3">
        <v>41896</v>
      </c>
      <c r="J548" s="2" t="str">
        <f>HYPERLINK("https://docs.wto.org/imrd/directdoc.asp?DDFDocuments/t/G/TBTN14/KWT229.DOC")</f>
        <v>https://docs.wto.org/imrd/directdoc.asp?DDFDocuments/t/G/TBTN14/KWT229.DOC</v>
      </c>
      <c r="K548" s="2" t="str">
        <f>HYPERLINK("https://docs.wto.org/imrd/directdoc.asp?DDFDocuments/u/G/TBTN14/KWT229.DOC")</f>
        <v>https://docs.wto.org/imrd/directdoc.asp?DDFDocuments/u/G/TBTN14/KWT229.DOC</v>
      </c>
      <c r="L548" s="2" t="str">
        <f>HYPERLINK("https://docs.wto.org/imrd/directdoc.asp?DDFDocuments/v/G/TBTN14/KWT229.DOC")</f>
        <v>https://docs.wto.org/imrd/directdoc.asp?DDFDocuments/v/G/TBTN14/KWT229.DOC</v>
      </c>
      <c r="M548" s="2" t="str">
        <f>HYPERLINK("http://www.epingalert.org/#/details/G/TBT/N/KWT/229")</f>
        <v>http://www.epingalert.org/#/details/G/TBT/N/KWT/229</v>
      </c>
      <c r="N548" s="2"/>
      <c r="O548" s="2"/>
    </row>
    <row r="549" spans="1:15" ht="60" outlineLevel="1" x14ac:dyDescent="0.25">
      <c r="A549" s="2" t="s">
        <v>180</v>
      </c>
      <c r="B549" s="4" t="s">
        <v>1109</v>
      </c>
      <c r="C549" s="2" t="s">
        <v>1110</v>
      </c>
      <c r="D549" s="2" t="s">
        <v>1111</v>
      </c>
      <c r="E549" s="3">
        <v>41836</v>
      </c>
      <c r="F549" s="2" t="s">
        <v>1112</v>
      </c>
      <c r="G549" s="2"/>
      <c r="H549" s="2" t="s">
        <v>17</v>
      </c>
      <c r="I549" s="3">
        <v>41896</v>
      </c>
      <c r="J549" s="2" t="str">
        <f>HYPERLINK("https://docs.wto.org/imrd/directdoc.asp?DDFDocuments/t/G/TBTN14/KWT228.DOC")</f>
        <v>https://docs.wto.org/imrd/directdoc.asp?DDFDocuments/t/G/TBTN14/KWT228.DOC</v>
      </c>
      <c r="K549" s="2" t="str">
        <f>HYPERLINK("https://docs.wto.org/imrd/directdoc.asp?DDFDocuments/u/G/TBTN14/KWT228.DOC")</f>
        <v>https://docs.wto.org/imrd/directdoc.asp?DDFDocuments/u/G/TBTN14/KWT228.DOC</v>
      </c>
      <c r="L549" s="2" t="str">
        <f>HYPERLINK("https://docs.wto.org/imrd/directdoc.asp?DDFDocuments/v/G/TBTN14/KWT228.DOC")</f>
        <v>https://docs.wto.org/imrd/directdoc.asp?DDFDocuments/v/G/TBTN14/KWT228.DOC</v>
      </c>
      <c r="M549" s="2" t="str">
        <f>HYPERLINK("http://www.epingalert.org/#/details/G/TBT/N/KWT/228")</f>
        <v>http://www.epingalert.org/#/details/G/TBT/N/KWT/228</v>
      </c>
      <c r="N549" s="2"/>
      <c r="O549" s="2"/>
    </row>
    <row r="550" spans="1:15" ht="285" outlineLevel="1" x14ac:dyDescent="0.25">
      <c r="A550" s="2" t="s">
        <v>1908</v>
      </c>
      <c r="B550" s="4" t="s">
        <v>2283</v>
      </c>
      <c r="C550" s="2" t="s">
        <v>2284</v>
      </c>
      <c r="D550" s="2" t="s">
        <v>2285</v>
      </c>
      <c r="E550" s="3">
        <v>41836</v>
      </c>
      <c r="F550" s="2" t="s">
        <v>2286</v>
      </c>
      <c r="G550" s="2" t="s">
        <v>2287</v>
      </c>
      <c r="H550" s="2" t="s">
        <v>82</v>
      </c>
      <c r="I550" s="3">
        <v>41893</v>
      </c>
      <c r="J550" s="2" t="str">
        <f>HYPERLINK("https://docs.wto.org/imrd/directdoc.asp?DDFDocuments/t/G/TBTN14/CAN419.DOC")</f>
        <v>https://docs.wto.org/imrd/directdoc.asp?DDFDocuments/t/G/TBTN14/CAN419.DOC</v>
      </c>
      <c r="K550" s="2" t="str">
        <f>HYPERLINK("https://docs.wto.org/imrd/directdoc.asp?DDFDocuments/u/G/TBTN14/CAN419.DOC")</f>
        <v>https://docs.wto.org/imrd/directdoc.asp?DDFDocuments/u/G/TBTN14/CAN419.DOC</v>
      </c>
      <c r="L550" s="2" t="str">
        <f>HYPERLINK("https://docs.wto.org/imrd/directdoc.asp?DDFDocuments/v/G/TBTN14/CAN419.DOC")</f>
        <v>https://docs.wto.org/imrd/directdoc.asp?DDFDocuments/v/G/TBTN14/CAN419.DOC</v>
      </c>
      <c r="M550" s="2" t="str">
        <f>HYPERLINK("http://www.epingalert.org/#/details/G/TBT/N/CAN/419")</f>
        <v>http://www.epingalert.org/#/details/G/TBT/N/CAN/419</v>
      </c>
      <c r="N550" s="2"/>
      <c r="O550" s="2"/>
    </row>
    <row r="551" spans="1:15" ht="345" outlineLevel="1" x14ac:dyDescent="0.25">
      <c r="A551" s="2" t="s">
        <v>211</v>
      </c>
      <c r="B551" s="4" t="s">
        <v>1113</v>
      </c>
      <c r="C551" s="2" t="s">
        <v>1114</v>
      </c>
      <c r="D551" s="2" t="s">
        <v>1115</v>
      </c>
      <c r="E551" s="3">
        <v>41835</v>
      </c>
      <c r="F551" s="2" t="s">
        <v>1116</v>
      </c>
      <c r="G551" s="2"/>
      <c r="H551" s="2" t="s">
        <v>721</v>
      </c>
      <c r="I551" s="3">
        <v>41894</v>
      </c>
      <c r="J551" s="2" t="str">
        <f>HYPERLINK("https://docs.wto.org/imrd/directdoc.asp?DDFDocuments/t/G/TBTN14/NZL69.DOC")</f>
        <v>https://docs.wto.org/imrd/directdoc.asp?DDFDocuments/t/G/TBTN14/NZL69.DOC</v>
      </c>
      <c r="K551" s="2" t="str">
        <f>HYPERLINK("https://docs.wto.org/imrd/directdoc.asp?DDFDocuments/u/G/TBTN14/NZL69.DOC")</f>
        <v>https://docs.wto.org/imrd/directdoc.asp?DDFDocuments/u/G/TBTN14/NZL69.DOC</v>
      </c>
      <c r="L551" s="2" t="str">
        <f>HYPERLINK("https://docs.wto.org/imrd/directdoc.asp?DDFDocuments/v/G/TBTN14/NZL69.DOC")</f>
        <v>https://docs.wto.org/imrd/directdoc.asp?DDFDocuments/v/G/TBTN14/NZL69.DOC</v>
      </c>
      <c r="M551" s="2" t="str">
        <f>HYPERLINK("http://www.epingalert.org/#/details/G/TBT/N/NZL/69")</f>
        <v>http://www.epingalert.org/#/details/G/TBT/N/NZL/69</v>
      </c>
      <c r="N551" s="2"/>
      <c r="O551" s="2"/>
    </row>
    <row r="552" spans="1:15" ht="210" outlineLevel="1" x14ac:dyDescent="0.25">
      <c r="A552" s="2" t="s">
        <v>1619</v>
      </c>
      <c r="B552" s="4" t="s">
        <v>2288</v>
      </c>
      <c r="C552" s="2" t="s">
        <v>2289</v>
      </c>
      <c r="D552" s="2" t="s">
        <v>2290</v>
      </c>
      <c r="E552" s="3">
        <v>41828</v>
      </c>
      <c r="F552" s="2" t="s">
        <v>2291</v>
      </c>
      <c r="G552" s="2" t="s">
        <v>2292</v>
      </c>
      <c r="H552" s="2" t="s">
        <v>127</v>
      </c>
      <c r="I552" s="3">
        <v>41888</v>
      </c>
      <c r="J552" s="2" t="str">
        <f>HYPERLINK("https://docs.wto.org/imrd/directdoc.asp?DDFDocuments/t/G/TBTN14/LTU25.DOC")</f>
        <v>https://docs.wto.org/imrd/directdoc.asp?DDFDocuments/t/G/TBTN14/LTU25.DOC</v>
      </c>
      <c r="K552" s="2" t="str">
        <f>HYPERLINK("https://docs.wto.org/imrd/directdoc.asp?DDFDocuments/u/G/TBTN14/LTU25.DOC")</f>
        <v>https://docs.wto.org/imrd/directdoc.asp?DDFDocuments/u/G/TBTN14/LTU25.DOC</v>
      </c>
      <c r="L552" s="2" t="str">
        <f>HYPERLINK("https://docs.wto.org/imrd/directdoc.asp?DDFDocuments/v/G/TBTN14/LTU25.DOC")</f>
        <v>https://docs.wto.org/imrd/directdoc.asp?DDFDocuments/v/G/TBTN14/LTU25.DOC</v>
      </c>
      <c r="M552" s="2" t="str">
        <f>HYPERLINK("http://www.epingalert.org/#/details/G/TBT/N/LTU/25")</f>
        <v>http://www.epingalert.org/#/details/G/TBT/N/LTU/25</v>
      </c>
      <c r="N552" s="2"/>
      <c r="O552" s="2"/>
    </row>
    <row r="553" spans="1:15" ht="195" outlineLevel="1" x14ac:dyDescent="0.25">
      <c r="A553" s="2" t="s">
        <v>1619</v>
      </c>
      <c r="B553" s="4" t="s">
        <v>2293</v>
      </c>
      <c r="C553" s="2" t="s">
        <v>2294</v>
      </c>
      <c r="D553" s="2" t="s">
        <v>2295</v>
      </c>
      <c r="E553" s="3">
        <v>41828</v>
      </c>
      <c r="F553" s="2" t="s">
        <v>2296</v>
      </c>
      <c r="G553" s="2" t="s">
        <v>2292</v>
      </c>
      <c r="H553" s="2" t="s">
        <v>127</v>
      </c>
      <c r="I553" s="3">
        <v>41888</v>
      </c>
      <c r="J553" s="2" t="str">
        <f>HYPERLINK("https://docs.wto.org/imrd/directdoc.asp?DDFDocuments/t/G/TBTN14/LTU24.DOC")</f>
        <v>https://docs.wto.org/imrd/directdoc.asp?DDFDocuments/t/G/TBTN14/LTU24.DOC</v>
      </c>
      <c r="K553" s="2" t="str">
        <f>HYPERLINK("https://docs.wto.org/imrd/directdoc.asp?DDFDocuments/u/G/TBTN14/LTU24.DOC")</f>
        <v>https://docs.wto.org/imrd/directdoc.asp?DDFDocuments/u/G/TBTN14/LTU24.DOC</v>
      </c>
      <c r="L553" s="2" t="str">
        <f>HYPERLINK("https://docs.wto.org/imrd/directdoc.asp?DDFDocuments/v/G/TBTN14/LTU24.DOC")</f>
        <v>https://docs.wto.org/imrd/directdoc.asp?DDFDocuments/v/G/TBTN14/LTU24.DOC</v>
      </c>
      <c r="M553" s="2" t="str">
        <f>HYPERLINK("http://www.epingalert.org/#/details/G/TBT/N/LTU/24")</f>
        <v>http://www.epingalert.org/#/details/G/TBT/N/LTU/24</v>
      </c>
      <c r="N553" s="2"/>
      <c r="O553" s="2"/>
    </row>
    <row r="554" spans="1:15" ht="90" outlineLevel="1" x14ac:dyDescent="0.25">
      <c r="A554" s="2" t="s">
        <v>1198</v>
      </c>
      <c r="B554" s="4" t="s">
        <v>2297</v>
      </c>
      <c r="C554" s="2"/>
      <c r="D554" s="2"/>
      <c r="E554" s="3">
        <v>41827</v>
      </c>
      <c r="F554" s="2" t="s">
        <v>2298</v>
      </c>
      <c r="G554" s="2" t="s">
        <v>2299</v>
      </c>
      <c r="H554" s="2" t="s">
        <v>30</v>
      </c>
      <c r="I554" s="3">
        <v>41907</v>
      </c>
      <c r="J554" s="2" t="str">
        <f>HYPERLINK("https://docs.wto.org/imrd/directdoc.asp?DDFDocuments/t/G/TBTN14/ECU268.DOC")</f>
        <v>https://docs.wto.org/imrd/directdoc.asp?DDFDocuments/t/G/TBTN14/ECU268.DOC</v>
      </c>
      <c r="K554" s="2" t="str">
        <f>HYPERLINK("https://docs.wto.org/imrd/directdoc.asp?DDFDocuments/u/G/TBTN14/ECU268.DOC")</f>
        <v>https://docs.wto.org/imrd/directdoc.asp?DDFDocuments/u/G/TBTN14/ECU268.DOC</v>
      </c>
      <c r="L554" s="2" t="str">
        <f>HYPERLINK("https://docs.wto.org/imrd/directdoc.asp?DDFDocuments/v/G/TBTN14/ECU268.DOC")</f>
        <v>https://docs.wto.org/imrd/directdoc.asp?DDFDocuments/v/G/TBTN14/ECU268.DOC</v>
      </c>
      <c r="M554" s="2" t="str">
        <f>HYPERLINK("http://www.epingalert.org/#/details/G/TBT/N/ECU/268")</f>
        <v>http://www.epingalert.org/#/details/G/TBT/N/ECU/268</v>
      </c>
      <c r="N554" s="2"/>
      <c r="O554" s="2"/>
    </row>
    <row r="555" spans="1:15" ht="90" outlineLevel="1" x14ac:dyDescent="0.25">
      <c r="A555" s="2" t="s">
        <v>179</v>
      </c>
      <c r="B555" s="4" t="s">
        <v>1581</v>
      </c>
      <c r="C555" s="2" t="s">
        <v>1582</v>
      </c>
      <c r="D555" s="2" t="s">
        <v>1583</v>
      </c>
      <c r="E555" s="3">
        <v>41824</v>
      </c>
      <c r="F555" s="2" t="s">
        <v>1584</v>
      </c>
      <c r="G555" s="2"/>
      <c r="H555" s="2" t="s">
        <v>17</v>
      </c>
      <c r="I555" s="3">
        <v>41884</v>
      </c>
      <c r="J555" s="2" t="str">
        <f>HYPERLINK("https://docs.wto.org/imrd/directdoc.asp?DDFDocuments/t/G/TBTN14/OMN163.DOC")</f>
        <v>https://docs.wto.org/imrd/directdoc.asp?DDFDocuments/t/G/TBTN14/OMN163.DOC</v>
      </c>
      <c r="K555" s="2" t="str">
        <f>HYPERLINK("https://docs.wto.org/imrd/directdoc.asp?DDFDocuments/u/G/TBTN14/OMN163.DOC")</f>
        <v>https://docs.wto.org/imrd/directdoc.asp?DDFDocuments/u/G/TBTN14/OMN163.DOC</v>
      </c>
      <c r="L555" s="2" t="str">
        <f>HYPERLINK("https://docs.wto.org/imrd/directdoc.asp?DDFDocuments/v/G/TBTN14/OMN163.DOC")</f>
        <v>https://docs.wto.org/imrd/directdoc.asp?DDFDocuments/v/G/TBTN14/OMN163.DOC</v>
      </c>
      <c r="M555" s="2" t="str">
        <f>HYPERLINK("http://www.epingalert.org/#/details/G/TBT/N/OMN/163")</f>
        <v>http://www.epingalert.org/#/details/G/TBT/N/OMN/163</v>
      </c>
      <c r="N555" s="2"/>
      <c r="O555" s="2"/>
    </row>
    <row r="556" spans="1:15" ht="120" outlineLevel="1" x14ac:dyDescent="0.25">
      <c r="A556" s="2" t="s">
        <v>12</v>
      </c>
      <c r="B556" s="4" t="s">
        <v>1585</v>
      </c>
      <c r="C556" s="2" t="s">
        <v>1586</v>
      </c>
      <c r="D556" s="2" t="s">
        <v>1587</v>
      </c>
      <c r="E556" s="3">
        <v>41823</v>
      </c>
      <c r="F556" s="2" t="s">
        <v>1588</v>
      </c>
      <c r="G556" s="2"/>
      <c r="H556" s="2" t="s">
        <v>82</v>
      </c>
      <c r="I556" s="3">
        <v>41883</v>
      </c>
      <c r="J556" s="2" t="str">
        <f>HYPERLINK("https://docs.wto.org/imrd/directdoc.asp?DDFDocuments/t/G/TBTN14/EU219.DOC")</f>
        <v>https://docs.wto.org/imrd/directdoc.asp?DDFDocuments/t/G/TBTN14/EU219.DOC</v>
      </c>
      <c r="K556" s="2" t="str">
        <f>HYPERLINK("https://docs.wto.org/imrd/directdoc.asp?DDFDocuments/u/G/TBTN14/EU219.DOC")</f>
        <v>https://docs.wto.org/imrd/directdoc.asp?DDFDocuments/u/G/TBTN14/EU219.DOC</v>
      </c>
      <c r="L556" s="2" t="str">
        <f>HYPERLINK("https://docs.wto.org/imrd/directdoc.asp?DDFDocuments/v/G/TBTN14/EU219.DOC")</f>
        <v>https://docs.wto.org/imrd/directdoc.asp?DDFDocuments/v/G/TBTN14/EU219.DOC</v>
      </c>
      <c r="M556" s="2" t="str">
        <f>HYPERLINK("http://www.epingalert.org/#/details/G/TBT/N/EU/219")</f>
        <v>http://www.epingalert.org/#/details/G/TBT/N/EU/219</v>
      </c>
      <c r="N556" s="2"/>
      <c r="O556" s="2"/>
    </row>
    <row r="557" spans="1:15" ht="60" outlineLevel="1" x14ac:dyDescent="0.25">
      <c r="A557" s="2" t="s">
        <v>173</v>
      </c>
      <c r="B557" s="4" t="s">
        <v>1117</v>
      </c>
      <c r="C557" s="2" t="s">
        <v>1118</v>
      </c>
      <c r="D557" s="2" t="s">
        <v>999</v>
      </c>
      <c r="E557" s="3">
        <v>41821</v>
      </c>
      <c r="F557" s="2" t="s">
        <v>1112</v>
      </c>
      <c r="G557" s="2"/>
      <c r="H557" s="2" t="s">
        <v>17</v>
      </c>
      <c r="I557" s="3">
        <v>41881</v>
      </c>
      <c r="J557" s="2" t="str">
        <f>HYPERLINK("https://docs.wto.org/imrd/directdoc.asp?DDFDocuments/t/G/TBTN14/SAU763.DOC")</f>
        <v>https://docs.wto.org/imrd/directdoc.asp?DDFDocuments/t/G/TBTN14/SAU763.DOC</v>
      </c>
      <c r="K557" s="2" t="str">
        <f>HYPERLINK("https://docs.wto.org/imrd/directdoc.asp?DDFDocuments/u/G/TBTN14/SAU763.DOC")</f>
        <v>https://docs.wto.org/imrd/directdoc.asp?DDFDocuments/u/G/TBTN14/SAU763.DOC</v>
      </c>
      <c r="L557" s="2" t="str">
        <f>HYPERLINK("https://docs.wto.org/imrd/directdoc.asp?DDFDocuments/v/G/TBTN14/SAU763.DOC")</f>
        <v>https://docs.wto.org/imrd/directdoc.asp?DDFDocuments/v/G/TBTN14/SAU763.DOC</v>
      </c>
      <c r="M557" s="2" t="str">
        <f>HYPERLINK("http://www.epingalert.org/#/details/G/TBT/N/SAU/763")</f>
        <v>http://www.epingalert.org/#/details/G/TBT/N/SAU/763</v>
      </c>
      <c r="N557" s="2"/>
      <c r="O557" s="2"/>
    </row>
    <row r="558" spans="1:15" ht="60" outlineLevel="1" x14ac:dyDescent="0.25">
      <c r="A558" s="2" t="s">
        <v>173</v>
      </c>
      <c r="B558" s="4" t="s">
        <v>1119</v>
      </c>
      <c r="C558" s="2" t="s">
        <v>1120</v>
      </c>
      <c r="D558" s="2" t="s">
        <v>991</v>
      </c>
      <c r="E558" s="3">
        <v>41821</v>
      </c>
      <c r="F558" s="2" t="s">
        <v>992</v>
      </c>
      <c r="G558" s="2"/>
      <c r="H558" s="2" t="s">
        <v>17</v>
      </c>
      <c r="I558" s="3">
        <v>41881</v>
      </c>
      <c r="J558" s="2" t="str">
        <f>HYPERLINK("https://docs.wto.org/imrd/directdoc.asp?DDFDocuments/t/G/TBTN14/SAU762.DOC")</f>
        <v>https://docs.wto.org/imrd/directdoc.asp?DDFDocuments/t/G/TBTN14/SAU762.DOC</v>
      </c>
      <c r="K558" s="2" t="str">
        <f>HYPERLINK("https://docs.wto.org/imrd/directdoc.asp?DDFDocuments/u/G/TBTN14/SAU762.DOC")</f>
        <v>https://docs.wto.org/imrd/directdoc.asp?DDFDocuments/u/G/TBTN14/SAU762.DOC</v>
      </c>
      <c r="L558" s="2" t="str">
        <f>HYPERLINK("https://docs.wto.org/imrd/directdoc.asp?DDFDocuments/v/G/TBTN14/SAU762.DOC")</f>
        <v>https://docs.wto.org/imrd/directdoc.asp?DDFDocuments/v/G/TBTN14/SAU762.DOC</v>
      </c>
      <c r="M558" s="2" t="str">
        <f>HYPERLINK("http://www.epingalert.org/#/details/G/TBT/N/SAU/762")</f>
        <v>http://www.epingalert.org/#/details/G/TBT/N/SAU/762</v>
      </c>
      <c r="N558" s="2"/>
      <c r="O558" s="2"/>
    </row>
    <row r="559" spans="1:15" ht="75" outlineLevel="1" x14ac:dyDescent="0.25">
      <c r="A559" s="2" t="s">
        <v>173</v>
      </c>
      <c r="B559" s="4" t="s">
        <v>1121</v>
      </c>
      <c r="C559" s="2" t="s">
        <v>1122</v>
      </c>
      <c r="D559" s="2" t="s">
        <v>1123</v>
      </c>
      <c r="E559" s="3">
        <v>41817</v>
      </c>
      <c r="F559" s="2" t="s">
        <v>1124</v>
      </c>
      <c r="G559" s="2"/>
      <c r="H559" s="2" t="s">
        <v>17</v>
      </c>
      <c r="I559" s="3">
        <v>41877</v>
      </c>
      <c r="J559" s="2" t="str">
        <f>HYPERLINK("https://docs.wto.org/imrd/directdoc.asp?DDFDocuments/t/G/TBTN14/SAU761.DOC")</f>
        <v>https://docs.wto.org/imrd/directdoc.asp?DDFDocuments/t/G/TBTN14/SAU761.DOC</v>
      </c>
      <c r="K559" s="2" t="str">
        <f>HYPERLINK("https://docs.wto.org/imrd/directdoc.asp?DDFDocuments/u/G/TBTN14/SAU761.DOC")</f>
        <v>https://docs.wto.org/imrd/directdoc.asp?DDFDocuments/u/G/TBTN14/SAU761.DOC</v>
      </c>
      <c r="L559" s="2" t="str">
        <f>HYPERLINK("https://docs.wto.org/imrd/directdoc.asp?DDFDocuments/v/G/TBTN14/SAU761.DOC")</f>
        <v>https://docs.wto.org/imrd/directdoc.asp?DDFDocuments/v/G/TBTN14/SAU761.DOC</v>
      </c>
      <c r="M559" s="2" t="str">
        <f>HYPERLINK("http://www.epingalert.org/#/details/G/TBT/N/SAU/761")</f>
        <v>http://www.epingalert.org/#/details/G/TBT/N/SAU/761</v>
      </c>
      <c r="N559" s="2"/>
      <c r="O559" s="2"/>
    </row>
    <row r="560" spans="1:15" ht="105" outlineLevel="1" x14ac:dyDescent="0.25">
      <c r="A560" s="2" t="s">
        <v>179</v>
      </c>
      <c r="B560" s="4" t="s">
        <v>1589</v>
      </c>
      <c r="C560" s="2" t="s">
        <v>1590</v>
      </c>
      <c r="D560" s="2" t="s">
        <v>1591</v>
      </c>
      <c r="E560" s="3">
        <v>41817</v>
      </c>
      <c r="F560" s="2" t="s">
        <v>1592</v>
      </c>
      <c r="G560" s="2"/>
      <c r="H560" s="2" t="s">
        <v>17</v>
      </c>
      <c r="I560" s="3">
        <v>41877</v>
      </c>
      <c r="J560" s="2" t="str">
        <f>HYPERLINK("https://docs.wto.org/imrd/directdoc.asp?DDFDocuments/t/G/TBTN14/OMN154.DOC")</f>
        <v>https://docs.wto.org/imrd/directdoc.asp?DDFDocuments/t/G/TBTN14/OMN154.DOC</v>
      </c>
      <c r="K560" s="2" t="str">
        <f>HYPERLINK("https://docs.wto.org/imrd/directdoc.asp?DDFDocuments/u/G/TBTN14/OMN154.DOC")</f>
        <v>https://docs.wto.org/imrd/directdoc.asp?DDFDocuments/u/G/TBTN14/OMN154.DOC</v>
      </c>
      <c r="L560" s="2" t="str">
        <f>HYPERLINK("https://docs.wto.org/imrd/directdoc.asp?DDFDocuments/v/G/TBTN14/OMN154.DOC")</f>
        <v>https://docs.wto.org/imrd/directdoc.asp?DDFDocuments/v/G/TBTN14/OMN154.DOC</v>
      </c>
      <c r="M560" s="2" t="str">
        <f>HYPERLINK("http://www.epingalert.org/#/details/G/TBT/N/OMN/154")</f>
        <v>http://www.epingalert.org/#/details/G/TBT/N/OMN/154</v>
      </c>
      <c r="N560" s="2"/>
      <c r="O560" s="2"/>
    </row>
    <row r="561" spans="1:15" ht="409.5" outlineLevel="1" x14ac:dyDescent="0.25">
      <c r="A561" s="2" t="s">
        <v>42</v>
      </c>
      <c r="B561" s="4" t="s">
        <v>1125</v>
      </c>
      <c r="C561" s="2" t="s">
        <v>1126</v>
      </c>
      <c r="D561" s="2" t="s">
        <v>1127</v>
      </c>
      <c r="E561" s="3">
        <v>41813</v>
      </c>
      <c r="F561" s="2" t="s">
        <v>1128</v>
      </c>
      <c r="G561" s="2"/>
      <c r="H561" s="2" t="s">
        <v>915</v>
      </c>
      <c r="I561" s="3">
        <v>41869</v>
      </c>
      <c r="J561" s="2" t="str">
        <f>HYPERLINK("https://docs.wto.org/imrd/directdoc.asp?DDFDocuments/t/G/TBTN14/BRA592.DOC")</f>
        <v>https://docs.wto.org/imrd/directdoc.asp?DDFDocuments/t/G/TBTN14/BRA592.DOC</v>
      </c>
      <c r="K561" s="2" t="str">
        <f>HYPERLINK("https://docs.wto.org/imrd/directdoc.asp?DDFDocuments/u/G/TBTN14/BRA592.DOC")</f>
        <v>https://docs.wto.org/imrd/directdoc.asp?DDFDocuments/u/G/TBTN14/BRA592.DOC</v>
      </c>
      <c r="L561" s="2" t="str">
        <f>HYPERLINK("https://docs.wto.org/imrd/directdoc.asp?DDFDocuments/v/G/TBTN14/BRA592.DOC")</f>
        <v>https://docs.wto.org/imrd/directdoc.asp?DDFDocuments/v/G/TBTN14/BRA592.DOC</v>
      </c>
      <c r="M561" s="2" t="str">
        <f>HYPERLINK("http://www.epingalert.org/#/details/G/TBT/N/BRA/592")</f>
        <v>http://www.epingalert.org/#/details/G/TBT/N/BRA/592</v>
      </c>
      <c r="N561" s="2"/>
      <c r="O561" s="2"/>
    </row>
    <row r="562" spans="1:15" ht="135" outlineLevel="1" x14ac:dyDescent="0.25">
      <c r="A562" s="2" t="s">
        <v>1129</v>
      </c>
      <c r="B562" s="4" t="s">
        <v>2311</v>
      </c>
      <c r="C562" s="2" t="s">
        <v>2312</v>
      </c>
      <c r="D562" s="2" t="s">
        <v>2313</v>
      </c>
      <c r="E562" s="3">
        <v>41808</v>
      </c>
      <c r="F562" s="2" t="s">
        <v>2303</v>
      </c>
      <c r="G562" s="2" t="s">
        <v>2179</v>
      </c>
      <c r="H562" s="2" t="s">
        <v>2314</v>
      </c>
      <c r="I562" s="3">
        <v>41827</v>
      </c>
      <c r="J562" s="2" t="str">
        <f>HYPERLINK("https://docs.wto.org/imrd/directdoc.asp?DDFDocuments/t/G/TBTN14/KEN420.DOC")</f>
        <v>https://docs.wto.org/imrd/directdoc.asp?DDFDocuments/t/G/TBTN14/KEN420.DOC</v>
      </c>
      <c r="K562" s="2" t="str">
        <f>HYPERLINK("https://docs.wto.org/imrd/directdoc.asp?DDFDocuments/u/G/TBTN14/KEN420.DOC")</f>
        <v>https://docs.wto.org/imrd/directdoc.asp?DDFDocuments/u/G/TBTN14/KEN420.DOC</v>
      </c>
      <c r="L562" s="2" t="str">
        <f>HYPERLINK("https://docs.wto.org/imrd/directdoc.asp?DDFDocuments/v/G/TBTN14/KEN420.DOC")</f>
        <v>https://docs.wto.org/imrd/directdoc.asp?DDFDocuments/v/G/TBTN14/KEN420.DOC</v>
      </c>
      <c r="M562" s="2" t="str">
        <f>HYPERLINK("http://www.epingalert.org/#/details/G/TBT/N/KEN/420")</f>
        <v>http://www.epingalert.org/#/details/G/TBT/N/KEN/420</v>
      </c>
      <c r="N562" s="2"/>
      <c r="O562" s="2"/>
    </row>
    <row r="563" spans="1:15" ht="60" outlineLevel="1" x14ac:dyDescent="0.25">
      <c r="A563" s="2" t="s">
        <v>1129</v>
      </c>
      <c r="B563" s="4" t="s">
        <v>1130</v>
      </c>
      <c r="C563" s="2" t="s">
        <v>1131</v>
      </c>
      <c r="D563" s="2" t="s">
        <v>1132</v>
      </c>
      <c r="E563" s="3">
        <v>41808</v>
      </c>
      <c r="F563" s="2" t="s">
        <v>1133</v>
      </c>
      <c r="G563" s="2" t="s">
        <v>1134</v>
      </c>
      <c r="H563" s="2" t="s">
        <v>127</v>
      </c>
      <c r="I563" s="2"/>
      <c r="J563" s="2" t="str">
        <f>HYPERLINK("https://docs.wto.org/imrd/directdoc.asp?DDFDocuments/t/G/TBTN14/KEN414.DOC")</f>
        <v>https://docs.wto.org/imrd/directdoc.asp?DDFDocuments/t/G/TBTN14/KEN414.DOC</v>
      </c>
      <c r="K563" s="2" t="str">
        <f>HYPERLINK("https://docs.wto.org/imrd/directdoc.asp?DDFDocuments/u/G/TBTN14/KEN414.DOC")</f>
        <v>https://docs.wto.org/imrd/directdoc.asp?DDFDocuments/u/G/TBTN14/KEN414.DOC</v>
      </c>
      <c r="L563" s="2" t="str">
        <f>HYPERLINK("https://docs.wto.org/imrd/directdoc.asp?DDFDocuments/v/G/TBTN14/KEN414.DOC")</f>
        <v>https://docs.wto.org/imrd/directdoc.asp?DDFDocuments/v/G/TBTN14/KEN414.DOC</v>
      </c>
      <c r="M563" s="2" t="str">
        <f>HYPERLINK("http://www.epingalert.org/#/details/G/TBT/N/KEN/414")</f>
        <v>http://www.epingalert.org/#/details/G/TBT/N/KEN/414</v>
      </c>
      <c r="N563" s="2"/>
      <c r="O563" s="2"/>
    </row>
    <row r="564" spans="1:15" ht="75" outlineLevel="1" x14ac:dyDescent="0.25">
      <c r="A564" s="2" t="s">
        <v>1129</v>
      </c>
      <c r="B564" s="4" t="s">
        <v>2300</v>
      </c>
      <c r="C564" s="2" t="s">
        <v>2301</v>
      </c>
      <c r="D564" s="2" t="s">
        <v>2302</v>
      </c>
      <c r="E564" s="3">
        <v>41808</v>
      </c>
      <c r="F564" s="2" t="s">
        <v>2303</v>
      </c>
      <c r="G564" s="2" t="s">
        <v>2304</v>
      </c>
      <c r="H564" s="2" t="s">
        <v>2305</v>
      </c>
      <c r="I564" s="2"/>
      <c r="J564" s="2" t="str">
        <f>HYPERLINK("https://docs.wto.org/imrd/directdoc.asp?DDFDocuments/t/G/TBTN14/KEN418.DOC")</f>
        <v>https://docs.wto.org/imrd/directdoc.asp?DDFDocuments/t/G/TBTN14/KEN418.DOC</v>
      </c>
      <c r="K564" s="2" t="str">
        <f>HYPERLINK("https://docs.wto.org/imrd/directdoc.asp?DDFDocuments/u/G/TBTN14/KEN418.DOC")</f>
        <v>https://docs.wto.org/imrd/directdoc.asp?DDFDocuments/u/G/TBTN14/KEN418.DOC</v>
      </c>
      <c r="L564" s="2" t="str">
        <f>HYPERLINK("https://docs.wto.org/imrd/directdoc.asp?DDFDocuments/v/G/TBTN14/KEN418.DOC")</f>
        <v>https://docs.wto.org/imrd/directdoc.asp?DDFDocuments/v/G/TBTN14/KEN418.DOC</v>
      </c>
      <c r="M564" s="2" t="str">
        <f>HYPERLINK("http://www.epingalert.org/#/details/G/TBT/N/KEN/418")</f>
        <v>http://www.epingalert.org/#/details/G/TBT/N/KEN/418</v>
      </c>
      <c r="N564" s="2"/>
      <c r="O564" s="2"/>
    </row>
    <row r="565" spans="1:15" ht="60" outlineLevel="1" x14ac:dyDescent="0.25">
      <c r="A565" s="2" t="s">
        <v>1129</v>
      </c>
      <c r="B565" s="4" t="s">
        <v>2306</v>
      </c>
      <c r="C565" s="2" t="s">
        <v>2307</v>
      </c>
      <c r="D565" s="2" t="s">
        <v>2308</v>
      </c>
      <c r="E565" s="3">
        <v>41808</v>
      </c>
      <c r="F565" s="2" t="s">
        <v>2309</v>
      </c>
      <c r="G565" s="2" t="s">
        <v>2310</v>
      </c>
      <c r="H565" s="2" t="s">
        <v>17</v>
      </c>
      <c r="I565" s="2"/>
      <c r="J565" s="2" t="str">
        <f>HYPERLINK("https://docs.wto.org/imrd/directdoc.asp?DDFDocuments/t/G/TBTN14/KEN415.DOC")</f>
        <v>https://docs.wto.org/imrd/directdoc.asp?DDFDocuments/t/G/TBTN14/KEN415.DOC</v>
      </c>
      <c r="K565" s="2" t="str">
        <f>HYPERLINK("https://docs.wto.org/imrd/directdoc.asp?DDFDocuments/u/G/TBTN14/KEN415.DOC")</f>
        <v>https://docs.wto.org/imrd/directdoc.asp?DDFDocuments/u/G/TBTN14/KEN415.DOC</v>
      </c>
      <c r="L565" s="2" t="str">
        <f>HYPERLINK("https://docs.wto.org/imrd/directdoc.asp?DDFDocuments/v/G/TBTN14/KEN415.DOC")</f>
        <v>https://docs.wto.org/imrd/directdoc.asp?DDFDocuments/v/G/TBTN14/KEN415.DOC</v>
      </c>
      <c r="M565" s="2" t="str">
        <f>HYPERLINK("http://www.epingalert.org/#/details/G/TBT/N/KEN/415")</f>
        <v>http://www.epingalert.org/#/details/G/TBT/N/KEN/415</v>
      </c>
      <c r="N565" s="2"/>
      <c r="O565" s="2"/>
    </row>
    <row r="566" spans="1:15" ht="60" outlineLevel="1" x14ac:dyDescent="0.25">
      <c r="A566" s="2" t="s">
        <v>1129</v>
      </c>
      <c r="B566" s="4" t="s">
        <v>1135</v>
      </c>
      <c r="C566" s="2" t="s">
        <v>1136</v>
      </c>
      <c r="D566" s="2" t="s">
        <v>1137</v>
      </c>
      <c r="E566" s="3">
        <v>41807</v>
      </c>
      <c r="F566" s="2" t="s">
        <v>1138</v>
      </c>
      <c r="G566" s="2" t="s">
        <v>1139</v>
      </c>
      <c r="H566" s="2" t="s">
        <v>127</v>
      </c>
      <c r="I566" s="2"/>
      <c r="J566" s="2" t="str">
        <f>HYPERLINK("https://docs.wto.org/imrd/directdoc.asp?DDFDocuments/t/G/TBTN14/KEN413.DOC")</f>
        <v>https://docs.wto.org/imrd/directdoc.asp?DDFDocuments/t/G/TBTN14/KEN413.DOC</v>
      </c>
      <c r="K566" s="2" t="str">
        <f>HYPERLINK("https://docs.wto.org/imrd/directdoc.asp?DDFDocuments/u/G/TBTN14/KEN413.DOC")</f>
        <v>https://docs.wto.org/imrd/directdoc.asp?DDFDocuments/u/G/TBTN14/KEN413.DOC</v>
      </c>
      <c r="L566" s="2" t="str">
        <f>HYPERLINK("https://docs.wto.org/imrd/directdoc.asp?DDFDocuments/v/G/TBTN14/KEN413.DOC")</f>
        <v>https://docs.wto.org/imrd/directdoc.asp?DDFDocuments/v/G/TBTN14/KEN413.DOC</v>
      </c>
      <c r="M566" s="2" t="str">
        <f>HYPERLINK("http://www.epingalert.org/#/details/G/TBT/N/KEN/413")</f>
        <v>http://www.epingalert.org/#/details/G/TBT/N/KEN/413</v>
      </c>
      <c r="N566" s="2"/>
      <c r="O566" s="2"/>
    </row>
    <row r="567" spans="1:15" ht="409.5" outlineLevel="1" x14ac:dyDescent="0.25">
      <c r="A567" s="2" t="s">
        <v>98</v>
      </c>
      <c r="B567" s="4" t="s">
        <v>1140</v>
      </c>
      <c r="C567" s="2" t="s">
        <v>1141</v>
      </c>
      <c r="D567" s="2" t="s">
        <v>1142</v>
      </c>
      <c r="E567" s="3">
        <v>41801</v>
      </c>
      <c r="F567" s="2" t="s">
        <v>1143</v>
      </c>
      <c r="G567" s="2" t="s">
        <v>1144</v>
      </c>
      <c r="H567" s="2" t="s">
        <v>915</v>
      </c>
      <c r="I567" s="3">
        <v>41861</v>
      </c>
      <c r="J567" s="2" t="str">
        <f>HYPERLINK("https://docs.wto.org/imrd/directdoc.asp?DDFDocuments/t/G/TBTN07/ZAF66R1.DOC")</f>
        <v>https://docs.wto.org/imrd/directdoc.asp?DDFDocuments/t/G/TBTN07/ZAF66R1.DOC</v>
      </c>
      <c r="K567" s="2" t="str">
        <f>HYPERLINK("https://docs.wto.org/imrd/directdoc.asp?DDFDocuments/u/G/TBTN07/ZAF66R1.DOC")</f>
        <v>https://docs.wto.org/imrd/directdoc.asp?DDFDocuments/u/G/TBTN07/ZAF66R1.DOC</v>
      </c>
      <c r="L567" s="2" t="str">
        <f>HYPERLINK("https://docs.wto.org/imrd/directdoc.asp?DDFDocuments/v/G/TBTN07/ZAF66R1.DOC")</f>
        <v>https://docs.wto.org/imrd/directdoc.asp?DDFDocuments/v/G/TBTN07/ZAF66R1.DOC</v>
      </c>
      <c r="M567" s="2" t="str">
        <f>HYPERLINK("http://www.epingalert.org/#/details/G/TBT/N/ZAF/66/Rev.1")</f>
        <v>http://www.epingalert.org/#/details/G/TBT/N/ZAF/66/Rev.1</v>
      </c>
      <c r="N567" s="2"/>
      <c r="O567" s="2"/>
    </row>
    <row r="568" spans="1:15" ht="375" outlineLevel="1" x14ac:dyDescent="0.25">
      <c r="A568" s="2" t="s">
        <v>47</v>
      </c>
      <c r="B568" s="4" t="s">
        <v>1145</v>
      </c>
      <c r="C568" s="2" t="s">
        <v>1146</v>
      </c>
      <c r="D568" s="2" t="s">
        <v>1147</v>
      </c>
      <c r="E568" s="3">
        <v>41801</v>
      </c>
      <c r="F568" s="2" t="s">
        <v>1148</v>
      </c>
      <c r="G568" s="2" t="s">
        <v>1149</v>
      </c>
      <c r="H568" s="2" t="s">
        <v>17</v>
      </c>
      <c r="I568" s="3">
        <v>41861</v>
      </c>
      <c r="J568" s="2" t="str">
        <f>HYPERLINK("https://docs.wto.org/imrd/directdoc.asp?DDFDocuments/t/G/TBTN14/ISR804.DOC")</f>
        <v>https://docs.wto.org/imrd/directdoc.asp?DDFDocuments/t/G/TBTN14/ISR804.DOC</v>
      </c>
      <c r="K568" s="2" t="str">
        <f>HYPERLINK("https://docs.wto.org/imrd/directdoc.asp?DDFDocuments/u/G/TBTN14/ISR804.DOC")</f>
        <v>https://docs.wto.org/imrd/directdoc.asp?DDFDocuments/u/G/TBTN14/ISR804.DOC</v>
      </c>
      <c r="L568" s="2" t="str">
        <f>HYPERLINK("https://docs.wto.org/imrd/directdoc.asp?DDFDocuments/v/G/TBTN14/ISR804.DOC")</f>
        <v>https://docs.wto.org/imrd/directdoc.asp?DDFDocuments/v/G/TBTN14/ISR804.DOC</v>
      </c>
      <c r="M568" s="2" t="str">
        <f>HYPERLINK("http://www.epingalert.org/#/details/G/TBT/N/ISR/804")</f>
        <v>http://www.epingalert.org/#/details/G/TBT/N/ISR/804</v>
      </c>
      <c r="N568" s="2"/>
      <c r="O568" s="2"/>
    </row>
    <row r="569" spans="1:15" ht="225" outlineLevel="1" x14ac:dyDescent="0.25">
      <c r="A569" s="2" t="s">
        <v>47</v>
      </c>
      <c r="B569" s="4" t="s">
        <v>2315</v>
      </c>
      <c r="C569" s="2" t="s">
        <v>2316</v>
      </c>
      <c r="D569" s="2" t="s">
        <v>2317</v>
      </c>
      <c r="E569" s="3">
        <v>41801</v>
      </c>
      <c r="F569" s="2" t="s">
        <v>2318</v>
      </c>
      <c r="G569" s="2" t="s">
        <v>2319</v>
      </c>
      <c r="H569" s="2" t="s">
        <v>17</v>
      </c>
      <c r="I569" s="3">
        <v>41861</v>
      </c>
      <c r="J569" s="2" t="str">
        <f>HYPERLINK("https://docs.wto.org/imrd/directdoc.asp?DDFDocuments/t/G/TBTN14/ISR805.DOC")</f>
        <v>https://docs.wto.org/imrd/directdoc.asp?DDFDocuments/t/G/TBTN14/ISR805.DOC</v>
      </c>
      <c r="K569" s="2" t="str">
        <f>HYPERLINK("https://docs.wto.org/imrd/directdoc.asp?DDFDocuments/u/G/TBTN14/ISR805.DOC")</f>
        <v>https://docs.wto.org/imrd/directdoc.asp?DDFDocuments/u/G/TBTN14/ISR805.DOC</v>
      </c>
      <c r="L569" s="2" t="str">
        <f>HYPERLINK("https://docs.wto.org/imrd/directdoc.asp?DDFDocuments/v/G/TBTN14/ISR805.DOC")</f>
        <v>https://docs.wto.org/imrd/directdoc.asp?DDFDocuments/v/G/TBTN14/ISR805.DOC</v>
      </c>
      <c r="M569" s="2" t="str">
        <f>HYPERLINK("http://www.epingalert.org/#/details/G/TBT/N/ISR/805")</f>
        <v>http://www.epingalert.org/#/details/G/TBT/N/ISR/805</v>
      </c>
      <c r="N569" s="2"/>
      <c r="O569" s="2"/>
    </row>
    <row r="570" spans="1:15" ht="405" outlineLevel="1" x14ac:dyDescent="0.25">
      <c r="A570" s="2" t="s">
        <v>2320</v>
      </c>
      <c r="B570" s="4" t="s">
        <v>2321</v>
      </c>
      <c r="C570" s="2" t="s">
        <v>2322</v>
      </c>
      <c r="D570" s="2" t="s">
        <v>2323</v>
      </c>
      <c r="E570" s="3">
        <v>41801</v>
      </c>
      <c r="F570" s="2" t="s">
        <v>2324</v>
      </c>
      <c r="G570" s="2" t="s">
        <v>2325</v>
      </c>
      <c r="H570" s="2" t="s">
        <v>1006</v>
      </c>
      <c r="I570" s="3">
        <v>41861</v>
      </c>
      <c r="J570" s="2" t="str">
        <f>HYPERLINK("https://docs.wto.org/imrd/directdoc.asp?DDFDocuments/t/G/TBTN10/DEU12R1.DOC")</f>
        <v>https://docs.wto.org/imrd/directdoc.asp?DDFDocuments/t/G/TBTN10/DEU12R1.DOC</v>
      </c>
      <c r="K570" s="2" t="str">
        <f>HYPERLINK("https://docs.wto.org/imrd/directdoc.asp?DDFDocuments/u/G/TBTN10/DEU12R1.DOC")</f>
        <v>https://docs.wto.org/imrd/directdoc.asp?DDFDocuments/u/G/TBTN10/DEU12R1.DOC</v>
      </c>
      <c r="L570" s="2" t="str">
        <f>HYPERLINK("https://docs.wto.org/imrd/directdoc.asp?DDFDocuments/v/G/TBTN10/DEU12R1.DOC")</f>
        <v>https://docs.wto.org/imrd/directdoc.asp?DDFDocuments/v/G/TBTN10/DEU12R1.DOC</v>
      </c>
      <c r="M570" s="2" t="str">
        <f>HYPERLINK("http://www.epingalert.org/#/details/G/TBT/N/DEU/12/Rev.1")</f>
        <v>http://www.epingalert.org/#/details/G/TBT/N/DEU/12/Rev.1</v>
      </c>
      <c r="N570" s="2"/>
      <c r="O570" s="2"/>
    </row>
    <row r="571" spans="1:15" ht="90" outlineLevel="1" x14ac:dyDescent="0.25">
      <c r="A571" s="2" t="s">
        <v>1198</v>
      </c>
      <c r="B571" s="4" t="s">
        <v>2326</v>
      </c>
      <c r="C571" s="2"/>
      <c r="D571" s="2"/>
      <c r="E571" s="3">
        <v>41796</v>
      </c>
      <c r="F571" s="2" t="s">
        <v>2327</v>
      </c>
      <c r="G571" s="2" t="s">
        <v>2328</v>
      </c>
      <c r="H571" s="2" t="s">
        <v>30</v>
      </c>
      <c r="I571" s="3">
        <v>41879</v>
      </c>
      <c r="J571" s="2" t="str">
        <f>HYPERLINK("https://docs.wto.org/imrd/directdoc.asp?DDFDocuments/t/G/TBTN14/ECU255.DOC")</f>
        <v>https://docs.wto.org/imrd/directdoc.asp?DDFDocuments/t/G/TBTN14/ECU255.DOC</v>
      </c>
      <c r="K571" s="2" t="str">
        <f>HYPERLINK("https://docs.wto.org/imrd/directdoc.asp?DDFDocuments/u/G/TBTN14/ECU255.DOC")</f>
        <v>https://docs.wto.org/imrd/directdoc.asp?DDFDocuments/u/G/TBTN14/ECU255.DOC</v>
      </c>
      <c r="L571" s="2" t="str">
        <f>HYPERLINK("https://docs.wto.org/imrd/directdoc.asp?DDFDocuments/v/G/TBTN14/ECU255.DOC")</f>
        <v>https://docs.wto.org/imrd/directdoc.asp?DDFDocuments/v/G/TBTN14/ECU255.DOC</v>
      </c>
      <c r="M571" s="2" t="str">
        <f>HYPERLINK("http://www.epingalert.org/#/details/G/TBT/N/ECU/255")</f>
        <v>http://www.epingalert.org/#/details/G/TBT/N/ECU/255</v>
      </c>
      <c r="N571" s="2"/>
      <c r="O571" s="2"/>
    </row>
    <row r="572" spans="1:15" ht="90" outlineLevel="1" x14ac:dyDescent="0.25">
      <c r="A572" s="2" t="s">
        <v>1198</v>
      </c>
      <c r="B572" s="4" t="s">
        <v>2329</v>
      </c>
      <c r="C572" s="2"/>
      <c r="D572" s="2"/>
      <c r="E572" s="3">
        <v>41796</v>
      </c>
      <c r="F572" s="2" t="s">
        <v>2330</v>
      </c>
      <c r="G572" s="2" t="s">
        <v>2331</v>
      </c>
      <c r="H572" s="2" t="s">
        <v>30</v>
      </c>
      <c r="I572" s="3">
        <v>41879</v>
      </c>
      <c r="J572" s="2" t="str">
        <f>HYPERLINK("https://docs.wto.org/imrd/directdoc.asp?DDFDocuments/t/G/TBTN14/ECU254.DOC")</f>
        <v>https://docs.wto.org/imrd/directdoc.asp?DDFDocuments/t/G/TBTN14/ECU254.DOC</v>
      </c>
      <c r="K572" s="2" t="str">
        <f>HYPERLINK("https://docs.wto.org/imrd/directdoc.asp?DDFDocuments/u/G/TBTN14/ECU254.DOC")</f>
        <v>https://docs.wto.org/imrd/directdoc.asp?DDFDocuments/u/G/TBTN14/ECU254.DOC</v>
      </c>
      <c r="L572" s="2" t="str">
        <f>HYPERLINK("https://docs.wto.org/imrd/directdoc.asp?DDFDocuments/v/G/TBTN14/ECU254.DOC")</f>
        <v>https://docs.wto.org/imrd/directdoc.asp?DDFDocuments/v/G/TBTN14/ECU254.DOC</v>
      </c>
      <c r="M572" s="2" t="str">
        <f>HYPERLINK("http://www.epingalert.org/#/details/G/TBT/N/ECU/254")</f>
        <v>http://www.epingalert.org/#/details/G/TBT/N/ECU/254</v>
      </c>
      <c r="N572" s="2"/>
      <c r="O572" s="2"/>
    </row>
    <row r="573" spans="1:15" ht="409.5" outlineLevel="1" x14ac:dyDescent="0.25">
      <c r="A573" s="2" t="s">
        <v>25</v>
      </c>
      <c r="B573" s="4" t="s">
        <v>1150</v>
      </c>
      <c r="C573" s="2" t="s">
        <v>1151</v>
      </c>
      <c r="D573" s="2" t="s">
        <v>1152</v>
      </c>
      <c r="E573" s="3">
        <v>41793</v>
      </c>
      <c r="F573" s="2" t="s">
        <v>290</v>
      </c>
      <c r="G573" s="2"/>
      <c r="H573" s="2" t="s">
        <v>17</v>
      </c>
      <c r="I573" s="3">
        <v>41853</v>
      </c>
      <c r="J573" s="2" t="str">
        <f>HYPERLINK("https://docs.wto.org/imrd/directdoc.asp?DDFDocuments/t/G/TBTN14/KOR495.DOC")</f>
        <v>https://docs.wto.org/imrd/directdoc.asp?DDFDocuments/t/G/TBTN14/KOR495.DOC</v>
      </c>
      <c r="K573" s="2" t="str">
        <f>HYPERLINK("https://docs.wto.org/imrd/directdoc.asp?DDFDocuments/u/G/TBTN14/KOR495.DOC")</f>
        <v>https://docs.wto.org/imrd/directdoc.asp?DDFDocuments/u/G/TBTN14/KOR495.DOC</v>
      </c>
      <c r="L573" s="2" t="str">
        <f>HYPERLINK("https://docs.wto.org/imrd/directdoc.asp?DDFDocuments/v/G/TBTN14/KOR495.DOC")</f>
        <v>https://docs.wto.org/imrd/directdoc.asp?DDFDocuments/v/G/TBTN14/KOR495.DOC</v>
      </c>
      <c r="M573" s="2" t="str">
        <f>HYPERLINK("http://www.epingalert.org/#/details/G/TBT/N/KOR/495")</f>
        <v>http://www.epingalert.org/#/details/G/TBT/N/KOR/495</v>
      </c>
      <c r="N573" s="2"/>
      <c r="O573" s="2"/>
    </row>
    <row r="574" spans="1:15" ht="150" outlineLevel="1" x14ac:dyDescent="0.25">
      <c r="A574" s="2" t="s">
        <v>444</v>
      </c>
      <c r="B574" s="4" t="s">
        <v>1153</v>
      </c>
      <c r="C574" s="2" t="s">
        <v>1154</v>
      </c>
      <c r="D574" s="2" t="s">
        <v>1155</v>
      </c>
      <c r="E574" s="3">
        <v>41792</v>
      </c>
      <c r="F574" s="2" t="s">
        <v>1156</v>
      </c>
      <c r="G574" s="2"/>
      <c r="H574" s="2" t="s">
        <v>82</v>
      </c>
      <c r="I574" s="3">
        <v>41852</v>
      </c>
      <c r="J574" s="2" t="str">
        <f>HYPERLINK("https://docs.wto.org/imrd/directdoc.asp?DDFDocuments/t/G/TBTN14/MYS43.DOC")</f>
        <v>https://docs.wto.org/imrd/directdoc.asp?DDFDocuments/t/G/TBTN14/MYS43.DOC</v>
      </c>
      <c r="K574" s="2" t="str">
        <f>HYPERLINK("https://docs.wto.org/imrd/directdoc.asp?DDFDocuments/u/G/TBTN14/MYS43.DOC")</f>
        <v>https://docs.wto.org/imrd/directdoc.asp?DDFDocuments/u/G/TBTN14/MYS43.DOC</v>
      </c>
      <c r="L574" s="2" t="str">
        <f>HYPERLINK("https://docs.wto.org/imrd/directdoc.asp?DDFDocuments/v/G/TBTN14/MYS43.DOC")</f>
        <v>https://docs.wto.org/imrd/directdoc.asp?DDFDocuments/v/G/TBTN14/MYS43.DOC</v>
      </c>
      <c r="M574" s="2" t="str">
        <f>HYPERLINK("http://www.epingalert.org/#/details/G/TBT/N/MYS/43")</f>
        <v>http://www.epingalert.org/#/details/G/TBT/N/MYS/43</v>
      </c>
      <c r="N574" s="2"/>
      <c r="O574" s="2"/>
    </row>
    <row r="575" spans="1:15" ht="165" outlineLevel="1" x14ac:dyDescent="0.25">
      <c r="A575" s="2" t="s">
        <v>444</v>
      </c>
      <c r="B575" s="4" t="s">
        <v>1157</v>
      </c>
      <c r="C575" s="2" t="s">
        <v>1158</v>
      </c>
      <c r="D575" s="2" t="s">
        <v>1159</v>
      </c>
      <c r="E575" s="3">
        <v>41792</v>
      </c>
      <c r="F575" s="2" t="s">
        <v>1160</v>
      </c>
      <c r="G575" s="2"/>
      <c r="H575" s="2" t="s">
        <v>17</v>
      </c>
      <c r="I575" s="3">
        <v>41852</v>
      </c>
      <c r="J575" s="2" t="str">
        <f>HYPERLINK("https://docs.wto.org/imrd/directdoc.asp?DDFDocuments/t/G/TBTN14/MYS42.DOC")</f>
        <v>https://docs.wto.org/imrd/directdoc.asp?DDFDocuments/t/G/TBTN14/MYS42.DOC</v>
      </c>
      <c r="K575" s="2" t="str">
        <f>HYPERLINK("https://docs.wto.org/imrd/directdoc.asp?DDFDocuments/u/G/TBTN14/MYS42.DOC")</f>
        <v>https://docs.wto.org/imrd/directdoc.asp?DDFDocuments/u/G/TBTN14/MYS42.DOC</v>
      </c>
      <c r="L575" s="2" t="str">
        <f>HYPERLINK("https://docs.wto.org/imrd/directdoc.asp?DDFDocuments/v/G/TBTN14/MYS42.DOC")</f>
        <v>https://docs.wto.org/imrd/directdoc.asp?DDFDocuments/v/G/TBTN14/MYS42.DOC</v>
      </c>
      <c r="M575" s="2" t="str">
        <f>HYPERLINK("http://www.epingalert.org/#/details/G/TBT/N/MYS/42")</f>
        <v>http://www.epingalert.org/#/details/G/TBT/N/MYS/42</v>
      </c>
      <c r="N575" s="2"/>
      <c r="O575" s="2"/>
    </row>
    <row r="576" spans="1:15" ht="409.5" outlineLevel="1" x14ac:dyDescent="0.25">
      <c r="A576" s="2" t="s">
        <v>128</v>
      </c>
      <c r="B576" s="4" t="s">
        <v>1161</v>
      </c>
      <c r="C576" s="2"/>
      <c r="D576" s="2"/>
      <c r="E576" s="3">
        <v>41782</v>
      </c>
      <c r="F576" s="2" t="s">
        <v>1162</v>
      </c>
      <c r="G576" s="2" t="s">
        <v>1163</v>
      </c>
      <c r="H576" s="2" t="s">
        <v>17</v>
      </c>
      <c r="I576" s="3">
        <v>41869</v>
      </c>
      <c r="J576" s="2" t="str">
        <f>HYPERLINK("https://docs.wto.org/imrd/directdoc.asp?DDFDocuments/t/G/TBTN14/PER59.DOC")</f>
        <v>https://docs.wto.org/imrd/directdoc.asp?DDFDocuments/t/G/TBTN14/PER59.DOC</v>
      </c>
      <c r="K576" s="2" t="str">
        <f>HYPERLINK("https://docs.wto.org/imrd/directdoc.asp?DDFDocuments/u/G/TBTN14/PER59.DOC")</f>
        <v>https://docs.wto.org/imrd/directdoc.asp?DDFDocuments/u/G/TBTN14/PER59.DOC</v>
      </c>
      <c r="L576" s="2" t="str">
        <f>HYPERLINK("https://docs.wto.org/imrd/directdoc.asp?DDFDocuments/v/G/TBTN14/PER59.DOC")</f>
        <v>https://docs.wto.org/imrd/directdoc.asp?DDFDocuments/v/G/TBTN14/PER59.DOC</v>
      </c>
      <c r="M576" s="2" t="str">
        <f>HYPERLINK("http://www.epingalert.org/#/details/G/TBT/N/PER/59")</f>
        <v>http://www.epingalert.org/#/details/G/TBT/N/PER/59</v>
      </c>
      <c r="N576" s="2"/>
      <c r="O576" s="2"/>
    </row>
    <row r="577" spans="1:15" ht="315" outlineLevel="1" x14ac:dyDescent="0.25">
      <c r="A577" s="2" t="s">
        <v>37</v>
      </c>
      <c r="B577" s="4" t="s">
        <v>2332</v>
      </c>
      <c r="C577" s="2" t="s">
        <v>2333</v>
      </c>
      <c r="D577" s="2" t="s">
        <v>2334</v>
      </c>
      <c r="E577" s="3">
        <v>41778</v>
      </c>
      <c r="F577" s="2" t="s">
        <v>2335</v>
      </c>
      <c r="G577" s="2" t="s">
        <v>2336</v>
      </c>
      <c r="H577" s="2" t="s">
        <v>17</v>
      </c>
      <c r="I577" s="3">
        <v>41838</v>
      </c>
      <c r="J577" s="2" t="str">
        <f>HYPERLINK("https://docs.wto.org/imrd/directdoc.asp?DDFDocuments/t/G/TBTN14/TUR57.DOC")</f>
        <v>https://docs.wto.org/imrd/directdoc.asp?DDFDocuments/t/G/TBTN14/TUR57.DOC</v>
      </c>
      <c r="K577" s="2" t="str">
        <f>HYPERLINK("https://docs.wto.org/imrd/directdoc.asp?DDFDocuments/u/G/TBTN14/TUR57.DOC")</f>
        <v>https://docs.wto.org/imrd/directdoc.asp?DDFDocuments/u/G/TBTN14/TUR57.DOC</v>
      </c>
      <c r="L577" s="2" t="str">
        <f>HYPERLINK("https://docs.wto.org/imrd/directdoc.asp?DDFDocuments/v/G/TBTN14/TUR57.DOC")</f>
        <v>https://docs.wto.org/imrd/directdoc.asp?DDFDocuments/v/G/TBTN14/TUR57.DOC</v>
      </c>
      <c r="M577" s="2" t="str">
        <f>HYPERLINK("http://www.epingalert.org/#/details/G/TBT/N/TUR/57")</f>
        <v>http://www.epingalert.org/#/details/G/TBT/N/TUR/57</v>
      </c>
      <c r="N577" s="2"/>
      <c r="O577" s="2"/>
    </row>
    <row r="578" spans="1:15" ht="105" outlineLevel="1" x14ac:dyDescent="0.25">
      <c r="A578" s="2" t="s">
        <v>77</v>
      </c>
      <c r="B578" s="4" t="s">
        <v>1164</v>
      </c>
      <c r="C578" s="2" t="s">
        <v>1165</v>
      </c>
      <c r="D578" s="2" t="s">
        <v>1166</v>
      </c>
      <c r="E578" s="3">
        <v>41773</v>
      </c>
      <c r="F578" s="2" t="s">
        <v>1167</v>
      </c>
      <c r="G578" s="2"/>
      <c r="H578" s="2" t="s">
        <v>82</v>
      </c>
      <c r="I578" s="3">
        <v>41789</v>
      </c>
      <c r="J578" s="2" t="str">
        <f>HYPERLINK("https://docs.wto.org/imrd/directdoc.asp?DDFDocuments/t/G/TBTN14/TPKM163.DOC")</f>
        <v>https://docs.wto.org/imrd/directdoc.asp?DDFDocuments/t/G/TBTN14/TPKM163.DOC</v>
      </c>
      <c r="K578" s="2" t="str">
        <f>HYPERLINK("https://docs.wto.org/imrd/directdoc.asp?DDFDocuments/u/G/TBTN14/TPKM163.DOC")</f>
        <v>https://docs.wto.org/imrd/directdoc.asp?DDFDocuments/u/G/TBTN14/TPKM163.DOC</v>
      </c>
      <c r="L578" s="2" t="str">
        <f>HYPERLINK("https://docs.wto.org/imrd/directdoc.asp?DDFDocuments/v/G/TBTN14/TPKM163.DOC")</f>
        <v>https://docs.wto.org/imrd/directdoc.asp?DDFDocuments/v/G/TBTN14/TPKM163.DOC</v>
      </c>
      <c r="M578" s="2" t="str">
        <f>HYPERLINK("http://www.epingalert.org/#/details/G/TBT/N/TPKM/163")</f>
        <v>http://www.epingalert.org/#/details/G/TBT/N/TPKM/163</v>
      </c>
      <c r="N578" s="2"/>
      <c r="O578" s="2"/>
    </row>
    <row r="579" spans="1:15" ht="90" outlineLevel="1" x14ac:dyDescent="0.25">
      <c r="A579" s="2" t="s">
        <v>181</v>
      </c>
      <c r="B579" s="4" t="s">
        <v>1593</v>
      </c>
      <c r="C579" s="2" t="s">
        <v>1594</v>
      </c>
      <c r="D579" s="2" t="s">
        <v>1189</v>
      </c>
      <c r="E579" s="3">
        <v>41772</v>
      </c>
      <c r="F579" s="2" t="s">
        <v>1595</v>
      </c>
      <c r="G579" s="2"/>
      <c r="H579" s="2" t="s">
        <v>30</v>
      </c>
      <c r="I579" s="3">
        <v>41832</v>
      </c>
      <c r="J579" s="2" t="str">
        <f>HYPERLINK("https://docs.wto.org/imrd/directdoc.asp?DDFDocuments/t/G/TBTN14/BHR340.DOC")</f>
        <v>https://docs.wto.org/imrd/directdoc.asp?DDFDocuments/t/G/TBTN14/BHR340.DOC</v>
      </c>
      <c r="K579" s="2" t="str">
        <f>HYPERLINK("https://docs.wto.org/imrd/directdoc.asp?DDFDocuments/u/G/TBTN14/BHR340.DOC")</f>
        <v>https://docs.wto.org/imrd/directdoc.asp?DDFDocuments/u/G/TBTN14/BHR340.DOC</v>
      </c>
      <c r="L579" s="2" t="str">
        <f>HYPERLINK("https://docs.wto.org/imrd/directdoc.asp?DDFDocuments/v/G/TBTN14/BHR340.DOC")</f>
        <v>https://docs.wto.org/imrd/directdoc.asp?DDFDocuments/v/G/TBTN14/BHR340.DOC</v>
      </c>
      <c r="M579" s="2" t="str">
        <f>HYPERLINK("http://www.epingalert.org/#/details/G/TBT/N/BHR/340")</f>
        <v>http://www.epingalert.org/#/details/G/TBT/N/BHR/340</v>
      </c>
      <c r="N579" s="2"/>
      <c r="O579" s="2"/>
    </row>
    <row r="580" spans="1:15" ht="409.5" outlineLevel="1" x14ac:dyDescent="0.25">
      <c r="A580" s="2" t="s">
        <v>181</v>
      </c>
      <c r="B580" s="4" t="s">
        <v>1596</v>
      </c>
      <c r="C580" s="2" t="s">
        <v>1597</v>
      </c>
      <c r="D580" s="2" t="s">
        <v>1598</v>
      </c>
      <c r="E580" s="3">
        <v>41772</v>
      </c>
      <c r="F580" s="2" t="s">
        <v>1599</v>
      </c>
      <c r="G580" s="2"/>
      <c r="H580" s="2" t="s">
        <v>30</v>
      </c>
      <c r="I580" s="3">
        <v>41832</v>
      </c>
      <c r="J580" s="2" t="str">
        <f>HYPERLINK("https://docs.wto.org/imrd/directdoc.asp?DDFDocuments/t/G/TBTN14/BHR339.DOC")</f>
        <v>https://docs.wto.org/imrd/directdoc.asp?DDFDocuments/t/G/TBTN14/BHR339.DOC</v>
      </c>
      <c r="K580" s="2" t="str">
        <f>HYPERLINK("https://docs.wto.org/imrd/directdoc.asp?DDFDocuments/u/G/TBTN14/BHR339.DOC")</f>
        <v>https://docs.wto.org/imrd/directdoc.asp?DDFDocuments/u/G/TBTN14/BHR339.DOC</v>
      </c>
      <c r="L580" s="2" t="str">
        <f>HYPERLINK("https://docs.wto.org/imrd/directdoc.asp?DDFDocuments/v/G/TBTN14/BHR339.DOC")</f>
        <v>https://docs.wto.org/imrd/directdoc.asp?DDFDocuments/v/G/TBTN14/BHR339.DOC</v>
      </c>
      <c r="M580" s="2" t="str">
        <f>HYPERLINK("http://www.epingalert.org/#/details/G/TBT/N/BHR/339")</f>
        <v>http://www.epingalert.org/#/details/G/TBT/N/BHR/339</v>
      </c>
      <c r="N580" s="2"/>
      <c r="O580" s="2"/>
    </row>
    <row r="581" spans="1:15" ht="409.5" outlineLevel="1" x14ac:dyDescent="0.25">
      <c r="A581" s="2" t="s">
        <v>25</v>
      </c>
      <c r="B581" s="4" t="s">
        <v>1168</v>
      </c>
      <c r="C581" s="2" t="s">
        <v>1169</v>
      </c>
      <c r="D581" s="2" t="s">
        <v>1170</v>
      </c>
      <c r="E581" s="3">
        <v>41766</v>
      </c>
      <c r="F581" s="2" t="s">
        <v>388</v>
      </c>
      <c r="G581" s="2"/>
      <c r="H581" s="2" t="s">
        <v>17</v>
      </c>
      <c r="I581" s="3">
        <v>41826</v>
      </c>
      <c r="J581" s="2" t="str">
        <f>HYPERLINK("https://docs.wto.org/imrd/directdoc.asp?DDFDocuments/t/G/TBTN14/KOR487.DOC")</f>
        <v>https://docs.wto.org/imrd/directdoc.asp?DDFDocuments/t/G/TBTN14/KOR487.DOC</v>
      </c>
      <c r="K581" s="2" t="str">
        <f>HYPERLINK("https://docs.wto.org/imrd/directdoc.asp?DDFDocuments/u/G/TBTN14/KOR487.DOC")</f>
        <v>https://docs.wto.org/imrd/directdoc.asp?DDFDocuments/u/G/TBTN14/KOR487.DOC</v>
      </c>
      <c r="L581" s="2" t="str">
        <f>HYPERLINK("https://docs.wto.org/imrd/directdoc.asp?DDFDocuments/v/G/TBTN14/KOR487.DOC")</f>
        <v>https://docs.wto.org/imrd/directdoc.asp?DDFDocuments/v/G/TBTN14/KOR487.DOC</v>
      </c>
      <c r="M581" s="2" t="str">
        <f>HYPERLINK("http://www.epingalert.org/#/details/G/TBT/N/KOR/487")</f>
        <v>http://www.epingalert.org/#/details/G/TBT/N/KOR/487</v>
      </c>
      <c r="N581" s="2"/>
      <c r="O581" s="2"/>
    </row>
    <row r="582" spans="1:15" ht="240" outlineLevel="1" x14ac:dyDescent="0.25">
      <c r="A582" s="2" t="s">
        <v>185</v>
      </c>
      <c r="B582" s="4" t="s">
        <v>1171</v>
      </c>
      <c r="C582" s="2" t="s">
        <v>1172</v>
      </c>
      <c r="D582" s="2" t="s">
        <v>1173</v>
      </c>
      <c r="E582" s="3">
        <v>41765</v>
      </c>
      <c r="F582" s="2" t="s">
        <v>299</v>
      </c>
      <c r="G582" s="2"/>
      <c r="H582" s="2" t="s">
        <v>17</v>
      </c>
      <c r="I582" s="3">
        <v>41825</v>
      </c>
      <c r="J582" s="2" t="str">
        <f>HYPERLINK("https://docs.wto.org/imrd/directdoc.asp?DDFDocuments/t/G/TBTN14/EGY48.DOC")</f>
        <v>https://docs.wto.org/imrd/directdoc.asp?DDFDocuments/t/G/TBTN14/EGY48.DOC</v>
      </c>
      <c r="K582" s="2" t="str">
        <f>HYPERLINK("https://docs.wto.org/imrd/directdoc.asp?DDFDocuments/u/G/TBTN14/EGY48.DOC")</f>
        <v>https://docs.wto.org/imrd/directdoc.asp?DDFDocuments/u/G/TBTN14/EGY48.DOC</v>
      </c>
      <c r="L582" s="2" t="str">
        <f>HYPERLINK("https://docs.wto.org/imrd/directdoc.asp?DDFDocuments/v/G/TBTN14/EGY48.DOC")</f>
        <v>https://docs.wto.org/imrd/directdoc.asp?DDFDocuments/v/G/TBTN14/EGY48.DOC</v>
      </c>
      <c r="M582" s="2" t="str">
        <f>HYPERLINK("http://www.epingalert.org/#/details/G/TBT/N/EGY/48")</f>
        <v>http://www.epingalert.org/#/details/G/TBT/N/EGY/48</v>
      </c>
      <c r="N582" s="2"/>
      <c r="O582" s="2"/>
    </row>
    <row r="583" spans="1:15" ht="409.5" outlineLevel="1" x14ac:dyDescent="0.25">
      <c r="A583" s="2" t="s">
        <v>1174</v>
      </c>
      <c r="B583" s="4" t="s">
        <v>1175</v>
      </c>
      <c r="C583" s="2" t="s">
        <v>1176</v>
      </c>
      <c r="D583" s="2" t="s">
        <v>1177</v>
      </c>
      <c r="E583" s="3">
        <v>41764</v>
      </c>
      <c r="F583" s="2" t="s">
        <v>1178</v>
      </c>
      <c r="G583" s="2"/>
      <c r="H583" s="2" t="s">
        <v>17</v>
      </c>
      <c r="I583" s="2"/>
      <c r="J583" s="2" t="str">
        <f>HYPERLINK("https://docs.wto.org/imrd/directdoc.asp?DDFDocuments/t/G/TBTN14/DNK95.DOC")</f>
        <v>https://docs.wto.org/imrd/directdoc.asp?DDFDocuments/t/G/TBTN14/DNK95.DOC</v>
      </c>
      <c r="K583" s="2" t="str">
        <f>HYPERLINK("https://docs.wto.org/imrd/directdoc.asp?DDFDocuments/u/G/TBTN14/DNK95.DOC")</f>
        <v>https://docs.wto.org/imrd/directdoc.asp?DDFDocuments/u/G/TBTN14/DNK95.DOC</v>
      </c>
      <c r="L583" s="2" t="str">
        <f>HYPERLINK("https://docs.wto.org/imrd/directdoc.asp?DDFDocuments/v/G/TBTN14/DNK95.DOC")</f>
        <v>https://docs.wto.org/imrd/directdoc.asp?DDFDocuments/v/G/TBTN14/DNK95.DOC</v>
      </c>
      <c r="M583" s="2" t="str">
        <f>HYPERLINK("http://www.epingalert.org/#/details/G/TBT/N/DNK/95")</f>
        <v>http://www.epingalert.org/#/details/G/TBT/N/DNK/95</v>
      </c>
      <c r="N583" s="2"/>
      <c r="O583" s="2"/>
    </row>
    <row r="584" spans="1:15" ht="60" outlineLevel="1" x14ac:dyDescent="0.25">
      <c r="A584" s="2" t="s">
        <v>444</v>
      </c>
      <c r="B584" s="4" t="s">
        <v>2337</v>
      </c>
      <c r="C584" s="2" t="s">
        <v>2338</v>
      </c>
      <c r="D584" s="2" t="s">
        <v>2339</v>
      </c>
      <c r="E584" s="3">
        <v>41759</v>
      </c>
      <c r="F584" s="2" t="s">
        <v>2340</v>
      </c>
      <c r="G584" s="2" t="s">
        <v>2190</v>
      </c>
      <c r="H584" s="2" t="s">
        <v>17</v>
      </c>
      <c r="I584" s="3">
        <v>41819</v>
      </c>
      <c r="J584" s="2" t="str">
        <f>HYPERLINK("https://docs.wto.org/imrd/directdoc.asp?DDFDocuments/t/G/TBTN14/MYS41.DOC")</f>
        <v>https://docs.wto.org/imrd/directdoc.asp?DDFDocuments/t/G/TBTN14/MYS41.DOC</v>
      </c>
      <c r="K584" s="2" t="str">
        <f>HYPERLINK("https://docs.wto.org/imrd/directdoc.asp?DDFDocuments/u/G/TBTN14/MYS41.DOC")</f>
        <v>https://docs.wto.org/imrd/directdoc.asp?DDFDocuments/u/G/TBTN14/MYS41.DOC</v>
      </c>
      <c r="L584" s="2" t="str">
        <f>HYPERLINK("https://docs.wto.org/imrd/directdoc.asp?DDFDocuments/v/G/TBTN14/MYS41.DOC")</f>
        <v>https://docs.wto.org/imrd/directdoc.asp?DDFDocuments/v/G/TBTN14/MYS41.DOC</v>
      </c>
      <c r="M584" s="2" t="str">
        <f>HYPERLINK("http://www.epingalert.org/#/details/G/TBT/N/MYS/41")</f>
        <v>http://www.epingalert.org/#/details/G/TBT/N/MYS/41</v>
      </c>
      <c r="N584" s="2"/>
      <c r="O584" s="2"/>
    </row>
    <row r="585" spans="1:15" ht="90" outlineLevel="1" x14ac:dyDescent="0.25">
      <c r="A585" s="2" t="s">
        <v>180</v>
      </c>
      <c r="B585" s="4" t="s">
        <v>1179</v>
      </c>
      <c r="C585" s="2" t="s">
        <v>1180</v>
      </c>
      <c r="D585" s="2" t="s">
        <v>1181</v>
      </c>
      <c r="E585" s="3">
        <v>41758</v>
      </c>
      <c r="F585" s="2" t="s">
        <v>1182</v>
      </c>
      <c r="G585" s="2"/>
      <c r="H585" s="2" t="s">
        <v>17</v>
      </c>
      <c r="I585" s="3">
        <v>41818</v>
      </c>
      <c r="J585" s="2" t="str">
        <f>HYPERLINK("https://docs.wto.org/imrd/directdoc.asp?DDFDocuments/t/G/TBTN14/KWT222.DOC")</f>
        <v>https://docs.wto.org/imrd/directdoc.asp?DDFDocuments/t/G/TBTN14/KWT222.DOC</v>
      </c>
      <c r="K585" s="2" t="str">
        <f>HYPERLINK("https://docs.wto.org/imrd/directdoc.asp?DDFDocuments/u/G/TBTN14/KWT222.DOC")</f>
        <v>https://docs.wto.org/imrd/directdoc.asp?DDFDocuments/u/G/TBTN14/KWT222.DOC</v>
      </c>
      <c r="L585" s="2" t="str">
        <f>HYPERLINK("https://docs.wto.org/imrd/directdoc.asp?DDFDocuments/v/G/TBTN14/KWT222.DOC")</f>
        <v>https://docs.wto.org/imrd/directdoc.asp?DDFDocuments/v/G/TBTN14/KWT222.DOC</v>
      </c>
      <c r="M585" s="2" t="str">
        <f>HYPERLINK("http://www.epingalert.org/#/details/G/TBT/N/KWT/222")</f>
        <v>http://www.epingalert.org/#/details/G/TBT/N/KWT/222</v>
      </c>
      <c r="N585" s="2"/>
      <c r="O585" s="2"/>
    </row>
    <row r="586" spans="1:15" ht="90" outlineLevel="1" x14ac:dyDescent="0.25">
      <c r="A586" s="2" t="s">
        <v>180</v>
      </c>
      <c r="B586" s="4" t="s">
        <v>1183</v>
      </c>
      <c r="C586" s="2" t="s">
        <v>1184</v>
      </c>
      <c r="D586" s="2" t="s">
        <v>1185</v>
      </c>
      <c r="E586" s="3">
        <v>41758</v>
      </c>
      <c r="F586" s="2" t="s">
        <v>1186</v>
      </c>
      <c r="G586" s="2"/>
      <c r="H586" s="2" t="s">
        <v>17</v>
      </c>
      <c r="I586" s="3">
        <v>41818</v>
      </c>
      <c r="J586" s="2" t="str">
        <f>HYPERLINK("https://docs.wto.org/imrd/directdoc.asp?DDFDocuments/t/G/TBTN14/KWT219.DOC")</f>
        <v>https://docs.wto.org/imrd/directdoc.asp?DDFDocuments/t/G/TBTN14/KWT219.DOC</v>
      </c>
      <c r="K586" s="2" t="str">
        <f>HYPERLINK("https://docs.wto.org/imrd/directdoc.asp?DDFDocuments/u/G/TBTN14/KWT219.DOC")</f>
        <v>https://docs.wto.org/imrd/directdoc.asp?DDFDocuments/u/G/TBTN14/KWT219.DOC</v>
      </c>
      <c r="L586" s="2" t="str">
        <f>HYPERLINK("https://docs.wto.org/imrd/directdoc.asp?DDFDocuments/v/G/TBTN14/KWT219.DOC")</f>
        <v>https://docs.wto.org/imrd/directdoc.asp?DDFDocuments/v/G/TBTN14/KWT219.DOC</v>
      </c>
      <c r="M586" s="2" t="str">
        <f>HYPERLINK("http://www.epingalert.org/#/details/G/TBT/N/KWT/219")</f>
        <v>http://www.epingalert.org/#/details/G/TBT/N/KWT/219</v>
      </c>
      <c r="N586" s="2"/>
      <c r="O586" s="2"/>
    </row>
    <row r="587" spans="1:15" ht="75" outlineLevel="1" x14ac:dyDescent="0.25">
      <c r="A587" s="2" t="s">
        <v>180</v>
      </c>
      <c r="B587" s="4" t="s">
        <v>1600</v>
      </c>
      <c r="C587" s="2" t="s">
        <v>1601</v>
      </c>
      <c r="D587" s="2" t="s">
        <v>1602</v>
      </c>
      <c r="E587" s="3">
        <v>41758</v>
      </c>
      <c r="F587" s="2" t="s">
        <v>1603</v>
      </c>
      <c r="G587" s="2"/>
      <c r="H587" s="2" t="s">
        <v>24</v>
      </c>
      <c r="I587" s="3">
        <v>41818</v>
      </c>
      <c r="J587" s="2" t="str">
        <f>HYPERLINK("https://docs.wto.org/imrd/directdoc.asp?DDFDocuments/t/G/TBTN14/KWT221.DOC")</f>
        <v>https://docs.wto.org/imrd/directdoc.asp?DDFDocuments/t/G/TBTN14/KWT221.DOC</v>
      </c>
      <c r="K587" s="2" t="str">
        <f>HYPERLINK("https://docs.wto.org/imrd/directdoc.asp?DDFDocuments/u/G/TBTN14/KWT221.DOC")</f>
        <v>https://docs.wto.org/imrd/directdoc.asp?DDFDocuments/u/G/TBTN14/KWT221.DOC</v>
      </c>
      <c r="L587" s="2" t="str">
        <f>HYPERLINK("https://docs.wto.org/imrd/directdoc.asp?DDFDocuments/v/G/TBTN14/KWT221.DOC")</f>
        <v>https://docs.wto.org/imrd/directdoc.asp?DDFDocuments/v/G/TBTN14/KWT221.DOC</v>
      </c>
      <c r="M587" s="2" t="str">
        <f>HYPERLINK("http://www.epingalert.org/#/details/G/TBT/N/KWT/221")</f>
        <v>http://www.epingalert.org/#/details/G/TBT/N/KWT/221</v>
      </c>
      <c r="N587" s="2"/>
      <c r="O587" s="2"/>
    </row>
    <row r="588" spans="1:15" ht="60" outlineLevel="1" x14ac:dyDescent="0.25">
      <c r="A588" s="2" t="s">
        <v>1198</v>
      </c>
      <c r="B588" s="4" t="s">
        <v>1199</v>
      </c>
      <c r="C588" s="2"/>
      <c r="D588" s="2"/>
      <c r="E588" s="3">
        <v>41757</v>
      </c>
      <c r="F588" s="2" t="s">
        <v>1200</v>
      </c>
      <c r="G588" s="2" t="s">
        <v>1201</v>
      </c>
      <c r="H588" s="2"/>
      <c r="I588" s="3">
        <v>41826</v>
      </c>
      <c r="J588" s="2" t="str">
        <f>HYPERLINK("https://docs.wto.org/imrd/directdoc.asp?DDFDocuments/t/G/TBTN14/ECU242.DOC")</f>
        <v>https://docs.wto.org/imrd/directdoc.asp?DDFDocuments/t/G/TBTN14/ECU242.DOC</v>
      </c>
      <c r="K588" s="2" t="str">
        <f>HYPERLINK("https://docs.wto.org/imrd/directdoc.asp?DDFDocuments/u/G/TBTN14/ECU242.DOC")</f>
        <v>https://docs.wto.org/imrd/directdoc.asp?DDFDocuments/u/G/TBTN14/ECU242.DOC</v>
      </c>
      <c r="L588" s="2" t="str">
        <f>HYPERLINK("https://docs.wto.org/imrd/directdoc.asp?DDFDocuments/v/G/TBTN14/ECU242.DOC")</f>
        <v>https://docs.wto.org/imrd/directdoc.asp?DDFDocuments/v/G/TBTN14/ECU242.DOC</v>
      </c>
      <c r="M588" s="2" t="str">
        <f>HYPERLINK("http://www.epingalert.org/#/details/G/TBT/N/ECU/242")</f>
        <v>http://www.epingalert.org/#/details/G/TBT/N/ECU/242</v>
      </c>
      <c r="N588" s="2"/>
      <c r="O588" s="2"/>
    </row>
    <row r="589" spans="1:15" ht="60" outlineLevel="1" x14ac:dyDescent="0.25">
      <c r="A589" s="2" t="s">
        <v>1198</v>
      </c>
      <c r="B589" s="4" t="s">
        <v>1202</v>
      </c>
      <c r="C589" s="2"/>
      <c r="D589" s="2"/>
      <c r="E589" s="3">
        <v>41757</v>
      </c>
      <c r="F589" s="2" t="s">
        <v>1203</v>
      </c>
      <c r="G589" s="2" t="s">
        <v>1204</v>
      </c>
      <c r="H589" s="2"/>
      <c r="I589" s="3">
        <v>41826</v>
      </c>
      <c r="J589" s="2" t="str">
        <f>HYPERLINK("https://docs.wto.org/imrd/directdoc.asp?DDFDocuments/t/G/TBTN14/ECU241.DOC")</f>
        <v>https://docs.wto.org/imrd/directdoc.asp?DDFDocuments/t/G/TBTN14/ECU241.DOC</v>
      </c>
      <c r="K589" s="2" t="str">
        <f>HYPERLINK("https://docs.wto.org/imrd/directdoc.asp?DDFDocuments/u/G/TBTN14/ECU241.DOC")</f>
        <v>https://docs.wto.org/imrd/directdoc.asp?DDFDocuments/u/G/TBTN14/ECU241.DOC</v>
      </c>
      <c r="L589" s="2" t="str">
        <f>HYPERLINK("https://docs.wto.org/imrd/directdoc.asp?DDFDocuments/v/G/TBTN14/ECU241.DOC")</f>
        <v>https://docs.wto.org/imrd/directdoc.asp?DDFDocuments/v/G/TBTN14/ECU241.DOC</v>
      </c>
      <c r="M589" s="2" t="str">
        <f>HYPERLINK("http://www.epingalert.org/#/details/G/TBT/N/ECU/241")</f>
        <v>http://www.epingalert.org/#/details/G/TBT/N/ECU/241</v>
      </c>
      <c r="N589" s="2"/>
      <c r="O589" s="2"/>
    </row>
    <row r="590" spans="1:15" ht="60" outlineLevel="1" x14ac:dyDescent="0.25">
      <c r="A590" s="2" t="s">
        <v>1198</v>
      </c>
      <c r="B590" s="4" t="s">
        <v>1205</v>
      </c>
      <c r="C590" s="2"/>
      <c r="D590" s="2"/>
      <c r="E590" s="3">
        <v>41757</v>
      </c>
      <c r="F590" s="2" t="s">
        <v>1206</v>
      </c>
      <c r="G590" s="2" t="s">
        <v>1207</v>
      </c>
      <c r="H590" s="2"/>
      <c r="I590" s="3">
        <v>41826</v>
      </c>
      <c r="J590" s="2" t="str">
        <f>HYPERLINK("https://docs.wto.org/imrd/directdoc.asp?DDFDocuments/t/G/TBTN14/ECU240.DOC")</f>
        <v>https://docs.wto.org/imrd/directdoc.asp?DDFDocuments/t/G/TBTN14/ECU240.DOC</v>
      </c>
      <c r="K590" s="2" t="str">
        <f>HYPERLINK("https://docs.wto.org/imrd/directdoc.asp?DDFDocuments/u/G/TBTN14/ECU240.DOC")</f>
        <v>https://docs.wto.org/imrd/directdoc.asp?DDFDocuments/u/G/TBTN14/ECU240.DOC</v>
      </c>
      <c r="L590" s="2" t="str">
        <f>HYPERLINK("https://docs.wto.org/imrd/directdoc.asp?DDFDocuments/v/G/TBTN14/ECU240.DOC")</f>
        <v>https://docs.wto.org/imrd/directdoc.asp?DDFDocuments/v/G/TBTN14/ECU240.DOC</v>
      </c>
      <c r="M590" s="2" t="str">
        <f>HYPERLINK("http://www.epingalert.org/#/details/G/TBT/N/ECU/240")</f>
        <v>http://www.epingalert.org/#/details/G/TBT/N/ECU/240</v>
      </c>
      <c r="N590" s="2"/>
      <c r="O590" s="2"/>
    </row>
    <row r="591" spans="1:15" ht="105" outlineLevel="1" x14ac:dyDescent="0.25">
      <c r="A591" s="2" t="s">
        <v>1198</v>
      </c>
      <c r="B591" s="4" t="s">
        <v>2341</v>
      </c>
      <c r="C591" s="2"/>
      <c r="D591" s="2"/>
      <c r="E591" s="3">
        <v>41757</v>
      </c>
      <c r="F591" s="2" t="s">
        <v>2342</v>
      </c>
      <c r="G591" s="2" t="s">
        <v>2343</v>
      </c>
      <c r="H591" s="2"/>
      <c r="I591" s="3">
        <v>41826</v>
      </c>
      <c r="J591" s="2" t="str">
        <f>HYPERLINK("https://docs.wto.org/imrd/directdoc.asp?DDFDocuments/t/G/TBTN14/ECU243.DOC")</f>
        <v>https://docs.wto.org/imrd/directdoc.asp?DDFDocuments/t/G/TBTN14/ECU243.DOC</v>
      </c>
      <c r="K591" s="2" t="str">
        <f>HYPERLINK("https://docs.wto.org/imrd/directdoc.asp?DDFDocuments/u/G/TBTN14/ECU243.DOC")</f>
        <v>https://docs.wto.org/imrd/directdoc.asp?DDFDocuments/u/G/TBTN14/ECU243.DOC</v>
      </c>
      <c r="L591" s="2" t="str">
        <f>HYPERLINK("https://docs.wto.org/imrd/directdoc.asp?DDFDocuments/v/G/TBTN14/ECU243.DOC")</f>
        <v>https://docs.wto.org/imrd/directdoc.asp?DDFDocuments/v/G/TBTN14/ECU243.DOC</v>
      </c>
      <c r="M591" s="2" t="str">
        <f>HYPERLINK("http://www.epingalert.org/#/details/G/TBT/N/ECU/243")</f>
        <v>http://www.epingalert.org/#/details/G/TBT/N/ECU/243</v>
      </c>
      <c r="N591" s="2"/>
      <c r="O591" s="2"/>
    </row>
    <row r="592" spans="1:15" ht="90" outlineLevel="1" x14ac:dyDescent="0.25">
      <c r="A592" s="2" t="s">
        <v>173</v>
      </c>
      <c r="B592" s="4" t="s">
        <v>1187</v>
      </c>
      <c r="C592" s="2" t="s">
        <v>1188</v>
      </c>
      <c r="D592" s="2" t="s">
        <v>1189</v>
      </c>
      <c r="E592" s="3">
        <v>41757</v>
      </c>
      <c r="F592" s="2" t="s">
        <v>1190</v>
      </c>
      <c r="G592" s="2"/>
      <c r="H592" s="2" t="s">
        <v>988</v>
      </c>
      <c r="I592" s="3">
        <v>41817</v>
      </c>
      <c r="J592" s="2" t="str">
        <f>HYPERLINK("https://docs.wto.org/imrd/directdoc.asp?DDFDocuments/t/G/TBTN14/SAU739.DOC")</f>
        <v>https://docs.wto.org/imrd/directdoc.asp?DDFDocuments/t/G/TBTN14/SAU739.DOC</v>
      </c>
      <c r="K592" s="2" t="str">
        <f>HYPERLINK("https://docs.wto.org/imrd/directdoc.asp?DDFDocuments/u/G/TBTN14/SAU739.DOC")</f>
        <v>https://docs.wto.org/imrd/directdoc.asp?DDFDocuments/u/G/TBTN14/SAU739.DOC</v>
      </c>
      <c r="L592" s="2" t="str">
        <f>HYPERLINK("https://docs.wto.org/imrd/directdoc.asp?DDFDocuments/v/G/TBTN14/SAU739.DOC")</f>
        <v>https://docs.wto.org/imrd/directdoc.asp?DDFDocuments/v/G/TBTN14/SAU739.DOC</v>
      </c>
      <c r="M592" s="2" t="str">
        <f>HYPERLINK("http://www.epingalert.org/#/details/G/TBT/N/SAU/739")</f>
        <v>http://www.epingalert.org/#/details/G/TBT/N/SAU/739</v>
      </c>
      <c r="N592" s="2"/>
      <c r="O592" s="2"/>
    </row>
    <row r="593" spans="1:15" ht="75" outlineLevel="1" x14ac:dyDescent="0.25">
      <c r="A593" s="2" t="s">
        <v>173</v>
      </c>
      <c r="B593" s="4" t="s">
        <v>1191</v>
      </c>
      <c r="C593" s="2" t="s">
        <v>1192</v>
      </c>
      <c r="D593" s="2" t="s">
        <v>1193</v>
      </c>
      <c r="E593" s="3">
        <v>41757</v>
      </c>
      <c r="F593" s="2" t="s">
        <v>1194</v>
      </c>
      <c r="G593" s="2"/>
      <c r="H593" s="2" t="s">
        <v>988</v>
      </c>
      <c r="I593" s="3">
        <v>41817</v>
      </c>
      <c r="J593" s="2" t="str">
        <f>HYPERLINK("https://docs.wto.org/imrd/directdoc.asp?DDFDocuments/t/G/TBTN14/SAU738.DOC")</f>
        <v>https://docs.wto.org/imrd/directdoc.asp?DDFDocuments/t/G/TBTN14/SAU738.DOC</v>
      </c>
      <c r="K593" s="2" t="str">
        <f>HYPERLINK("https://docs.wto.org/imrd/directdoc.asp?DDFDocuments/u/G/TBTN14/SAU738.DOC")</f>
        <v>https://docs.wto.org/imrd/directdoc.asp?DDFDocuments/u/G/TBTN14/SAU738.DOC</v>
      </c>
      <c r="L593" s="2" t="str">
        <f>HYPERLINK("https://docs.wto.org/imrd/directdoc.asp?DDFDocuments/v/G/TBTN14/SAU738.DOC")</f>
        <v>https://docs.wto.org/imrd/directdoc.asp?DDFDocuments/v/G/TBTN14/SAU738.DOC</v>
      </c>
      <c r="M593" s="2" t="str">
        <f>HYPERLINK("http://www.epingalert.org/#/details/G/TBT/N/SAU/738")</f>
        <v>http://www.epingalert.org/#/details/G/TBT/N/SAU/738</v>
      </c>
      <c r="N593" s="2"/>
      <c r="O593" s="2"/>
    </row>
    <row r="594" spans="1:15" ht="255" outlineLevel="1" x14ac:dyDescent="0.25">
      <c r="A594" s="2" t="s">
        <v>282</v>
      </c>
      <c r="B594" s="4" t="s">
        <v>1195</v>
      </c>
      <c r="C594" s="2" t="s">
        <v>1196</v>
      </c>
      <c r="D594" s="2" t="s">
        <v>1197</v>
      </c>
      <c r="E594" s="3">
        <v>41757</v>
      </c>
      <c r="F594" s="2" t="s">
        <v>365</v>
      </c>
      <c r="G594" s="2"/>
      <c r="H594" s="2" t="s">
        <v>17</v>
      </c>
      <c r="I594" s="3">
        <v>41807</v>
      </c>
      <c r="J594" s="2" t="str">
        <f>HYPERLINK("https://docs.wto.org/imrd/directdoc.asp?DDFDocuments/t/G/TBTN14/RUS36.DOC")</f>
        <v>https://docs.wto.org/imrd/directdoc.asp?DDFDocuments/t/G/TBTN14/RUS36.DOC</v>
      </c>
      <c r="K594" s="2" t="str">
        <f>HYPERLINK("https://docs.wto.org/imrd/directdoc.asp?DDFDocuments/u/G/TBTN14/RUS36.DOC")</f>
        <v>https://docs.wto.org/imrd/directdoc.asp?DDFDocuments/u/G/TBTN14/RUS36.DOC</v>
      </c>
      <c r="L594" s="2" t="str">
        <f>HYPERLINK("https://docs.wto.org/imrd/directdoc.asp?DDFDocuments/v/G/TBTN14/RUS36.DOC")</f>
        <v>https://docs.wto.org/imrd/directdoc.asp?DDFDocuments/v/G/TBTN14/RUS36.DOC</v>
      </c>
      <c r="M594" s="2" t="str">
        <f>HYPERLINK("http://www.epingalert.org/#/details/G/TBT/N/RUS/36")</f>
        <v>http://www.epingalert.org/#/details/G/TBT/N/RUS/36</v>
      </c>
      <c r="N594" s="2"/>
      <c r="O594" s="2"/>
    </row>
    <row r="595" spans="1:15" ht="409.5" outlineLevel="1" x14ac:dyDescent="0.25">
      <c r="A595" s="2" t="s">
        <v>562</v>
      </c>
      <c r="B595" s="4" t="s">
        <v>1208</v>
      </c>
      <c r="C595" s="2" t="s">
        <v>1209</v>
      </c>
      <c r="D595" s="2" t="s">
        <v>1210</v>
      </c>
      <c r="E595" s="3">
        <v>41754</v>
      </c>
      <c r="F595" s="2" t="s">
        <v>1211</v>
      </c>
      <c r="G595" s="2" t="s">
        <v>1212</v>
      </c>
      <c r="H595" s="2" t="s">
        <v>988</v>
      </c>
      <c r="I595" s="3">
        <v>41814</v>
      </c>
      <c r="J595" s="2" t="str">
        <f>HYPERLINK("https://docs.wto.org/imrd/directdoc.asp?DDFDocuments/t/G/TBTN14/SGP21.DOC")</f>
        <v>https://docs.wto.org/imrd/directdoc.asp?DDFDocuments/t/G/TBTN14/SGP21.DOC</v>
      </c>
      <c r="K595" s="2" t="str">
        <f>HYPERLINK("https://docs.wto.org/imrd/directdoc.asp?DDFDocuments/u/G/TBTN14/SGP21.DOC")</f>
        <v>https://docs.wto.org/imrd/directdoc.asp?DDFDocuments/u/G/TBTN14/SGP21.DOC</v>
      </c>
      <c r="L595" s="2" t="str">
        <f>HYPERLINK("https://docs.wto.org/imrd/directdoc.asp?DDFDocuments/v/G/TBTN14/SGP21.DOC")</f>
        <v>https://docs.wto.org/imrd/directdoc.asp?DDFDocuments/v/G/TBTN14/SGP21.DOC</v>
      </c>
      <c r="M595" s="2" t="str">
        <f>HYPERLINK("http://www.epingalert.org/#/details/G/TBT/N/SGP/21")</f>
        <v>http://www.epingalert.org/#/details/G/TBT/N/SGP/21</v>
      </c>
      <c r="N595" s="2"/>
      <c r="O595" s="2"/>
    </row>
    <row r="596" spans="1:15" ht="150" outlineLevel="1" x14ac:dyDescent="0.25">
      <c r="A596" s="2" t="s">
        <v>77</v>
      </c>
      <c r="B596" s="4" t="s">
        <v>1213</v>
      </c>
      <c r="C596" s="2" t="s">
        <v>1214</v>
      </c>
      <c r="D596" s="2" t="s">
        <v>1215</v>
      </c>
      <c r="E596" s="3">
        <v>41753</v>
      </c>
      <c r="F596" s="2" t="s">
        <v>1167</v>
      </c>
      <c r="G596" s="2"/>
      <c r="H596" s="2" t="s">
        <v>17</v>
      </c>
      <c r="I596" s="3">
        <v>41764</v>
      </c>
      <c r="J596" s="2" t="str">
        <f>HYPERLINK("https://docs.wto.org/imrd/directdoc.asp?DDFDocuments/t/G/TBTN14/TPKM160.DOC")</f>
        <v>https://docs.wto.org/imrd/directdoc.asp?DDFDocuments/t/G/TBTN14/TPKM160.DOC</v>
      </c>
      <c r="K596" s="2" t="str">
        <f>HYPERLINK("https://docs.wto.org/imrd/directdoc.asp?DDFDocuments/u/G/TBTN14/TPKM160.DOC")</f>
        <v>https://docs.wto.org/imrd/directdoc.asp?DDFDocuments/u/G/TBTN14/TPKM160.DOC</v>
      </c>
      <c r="L596" s="2" t="str">
        <f>HYPERLINK("https://docs.wto.org/imrd/directdoc.asp?DDFDocuments/v/G/TBTN14/TPKM160.DOC")</f>
        <v>https://docs.wto.org/imrd/directdoc.asp?DDFDocuments/v/G/TBTN14/TPKM160.DOC</v>
      </c>
      <c r="M596" s="2" t="str">
        <f>HYPERLINK("http://www.epingalert.org/#/details/G/TBT/N/TPKM/160")</f>
        <v>http://www.epingalert.org/#/details/G/TBT/N/TPKM/160</v>
      </c>
      <c r="N596" s="2"/>
      <c r="O596" s="2"/>
    </row>
    <row r="597" spans="1:15" ht="60" outlineLevel="1" x14ac:dyDescent="0.25">
      <c r="A597" s="2" t="s">
        <v>1198</v>
      </c>
      <c r="B597" s="4" t="s">
        <v>2344</v>
      </c>
      <c r="C597" s="2"/>
      <c r="D597" s="2"/>
      <c r="E597" s="3">
        <v>41751</v>
      </c>
      <c r="F597" s="2" t="s">
        <v>2345</v>
      </c>
      <c r="G597" s="2" t="s">
        <v>2346</v>
      </c>
      <c r="H597" s="2"/>
      <c r="I597" s="3">
        <v>41822</v>
      </c>
      <c r="J597" s="2" t="str">
        <f>HYPERLINK("https://docs.wto.org/imrd/directdoc.asp?DDFDocuments/t/G/TBTN14/ECU222.DOC")</f>
        <v>https://docs.wto.org/imrd/directdoc.asp?DDFDocuments/t/G/TBTN14/ECU222.DOC</v>
      </c>
      <c r="K597" s="2" t="str">
        <f>HYPERLINK("https://docs.wto.org/imrd/directdoc.asp?DDFDocuments/u/G/TBTN14/ECU222.DOC")</f>
        <v>https://docs.wto.org/imrd/directdoc.asp?DDFDocuments/u/G/TBTN14/ECU222.DOC</v>
      </c>
      <c r="L597" s="2" t="str">
        <f>HYPERLINK("https://docs.wto.org/imrd/directdoc.asp?DDFDocuments/v/G/TBTN14/ECU222.DOC")</f>
        <v>https://docs.wto.org/imrd/directdoc.asp?DDFDocuments/v/G/TBTN14/ECU222.DOC</v>
      </c>
      <c r="M597" s="2" t="str">
        <f>HYPERLINK("http://www.epingalert.org/#/details/G/TBT/N/ECU/222")</f>
        <v>http://www.epingalert.org/#/details/G/TBT/N/ECU/222</v>
      </c>
      <c r="N597" s="2"/>
      <c r="O597" s="2"/>
    </row>
    <row r="598" spans="1:15" ht="60" outlineLevel="1" x14ac:dyDescent="0.25">
      <c r="A598" s="2" t="s">
        <v>1198</v>
      </c>
      <c r="B598" s="4" t="s">
        <v>2347</v>
      </c>
      <c r="C598" s="2"/>
      <c r="D598" s="2"/>
      <c r="E598" s="3">
        <v>41751</v>
      </c>
      <c r="F598" s="2" t="s">
        <v>2348</v>
      </c>
      <c r="G598" s="2" t="s">
        <v>2349</v>
      </c>
      <c r="H598" s="2" t="s">
        <v>17</v>
      </c>
      <c r="I598" s="3">
        <v>41822</v>
      </c>
      <c r="J598" s="2" t="str">
        <f>HYPERLINK("https://docs.wto.org/imrd/directdoc.asp?DDFDocuments/t/G/TBTN14/ECU221.DOC")</f>
        <v>https://docs.wto.org/imrd/directdoc.asp?DDFDocuments/t/G/TBTN14/ECU221.DOC</v>
      </c>
      <c r="K598" s="2" t="str">
        <f>HYPERLINK("https://docs.wto.org/imrd/directdoc.asp?DDFDocuments/u/G/TBTN14/ECU221.DOC")</f>
        <v>https://docs.wto.org/imrd/directdoc.asp?DDFDocuments/u/G/TBTN14/ECU221.DOC</v>
      </c>
      <c r="L598" s="2" t="str">
        <f>HYPERLINK("https://docs.wto.org/imrd/directdoc.asp?DDFDocuments/v/G/TBTN14/ECU221.DOC")</f>
        <v>https://docs.wto.org/imrd/directdoc.asp?DDFDocuments/v/G/TBTN14/ECU221.DOC</v>
      </c>
      <c r="M598" s="2" t="str">
        <f>HYPERLINK("http://www.epingalert.org/#/details/G/TBT/N/ECU/221")</f>
        <v>http://www.epingalert.org/#/details/G/TBT/N/ECU/221</v>
      </c>
      <c r="N598" s="2"/>
      <c r="O598" s="2"/>
    </row>
    <row r="599" spans="1:15" ht="225" outlineLevel="1" x14ac:dyDescent="0.25">
      <c r="A599" s="2" t="s">
        <v>1216</v>
      </c>
      <c r="B599" s="4" t="s">
        <v>1217</v>
      </c>
      <c r="C599" s="2" t="s">
        <v>1218</v>
      </c>
      <c r="D599" s="2" t="s">
        <v>1219</v>
      </c>
      <c r="E599" s="3">
        <v>41744</v>
      </c>
      <c r="F599" s="2" t="s">
        <v>1220</v>
      </c>
      <c r="G599" s="2"/>
      <c r="H599" s="2" t="s">
        <v>988</v>
      </c>
      <c r="I599" s="3">
        <v>41804</v>
      </c>
      <c r="J599" s="2" t="str">
        <f>HYPERLINK("https://docs.wto.org/imrd/directdoc.asp?DDFDocuments/t/G/TBTN14/UKR97.DOC")</f>
        <v>https://docs.wto.org/imrd/directdoc.asp?DDFDocuments/t/G/TBTN14/UKR97.DOC</v>
      </c>
      <c r="K599" s="2" t="str">
        <f>HYPERLINK("https://docs.wto.org/imrd/directdoc.asp?DDFDocuments/u/G/TBTN14/UKR97.DOC")</f>
        <v>https://docs.wto.org/imrd/directdoc.asp?DDFDocuments/u/G/TBTN14/UKR97.DOC</v>
      </c>
      <c r="L599" s="2" t="str">
        <f>HYPERLINK("https://docs.wto.org/imrd/directdoc.asp?DDFDocuments/v/G/TBTN14/UKR97.DOC")</f>
        <v>https://docs.wto.org/imrd/directdoc.asp?DDFDocuments/v/G/TBTN14/UKR97.DOC</v>
      </c>
      <c r="M599" s="2" t="str">
        <f>HYPERLINK("http://www.epingalert.org/#/details/G/TBT/N/UKR/97")</f>
        <v>http://www.epingalert.org/#/details/G/TBT/N/UKR/97</v>
      </c>
      <c r="N599" s="2"/>
      <c r="O599" s="2"/>
    </row>
    <row r="600" spans="1:15" ht="165" outlineLevel="1" x14ac:dyDescent="0.25">
      <c r="A600" s="2" t="s">
        <v>180</v>
      </c>
      <c r="B600" s="4" t="s">
        <v>1221</v>
      </c>
      <c r="C600" s="2" t="s">
        <v>1222</v>
      </c>
      <c r="D600" s="2" t="s">
        <v>1223</v>
      </c>
      <c r="E600" s="3">
        <v>41743</v>
      </c>
      <c r="F600" s="2" t="s">
        <v>1224</v>
      </c>
      <c r="G600" s="2"/>
      <c r="H600" s="2" t="s">
        <v>17</v>
      </c>
      <c r="I600" s="3">
        <v>41803</v>
      </c>
      <c r="J600" s="2" t="str">
        <f>HYPERLINK("https://docs.wto.org/imrd/directdoc.asp?DDFDocuments/t/G/TBTN14/KWT218.DOC")</f>
        <v>https://docs.wto.org/imrd/directdoc.asp?DDFDocuments/t/G/TBTN14/KWT218.DOC</v>
      </c>
      <c r="K600" s="2" t="str">
        <f>HYPERLINK("https://docs.wto.org/imrd/directdoc.asp?DDFDocuments/u/G/TBTN14/KWT218.DOC")</f>
        <v>https://docs.wto.org/imrd/directdoc.asp?DDFDocuments/u/G/TBTN14/KWT218.DOC</v>
      </c>
      <c r="L600" s="2" t="str">
        <f>HYPERLINK("https://docs.wto.org/imrd/directdoc.asp?DDFDocuments/v/G/TBTN14/KWT218.DOC")</f>
        <v>https://docs.wto.org/imrd/directdoc.asp?DDFDocuments/v/G/TBTN14/KWT218.DOC</v>
      </c>
      <c r="M600" s="2" t="str">
        <f>HYPERLINK("http://www.epingalert.org/#/details/G/TBT/N/KWT/218")</f>
        <v>http://www.epingalert.org/#/details/G/TBT/N/KWT/218</v>
      </c>
      <c r="N600" s="2"/>
      <c r="O600" s="2"/>
    </row>
    <row r="601" spans="1:15" ht="135" outlineLevel="1" x14ac:dyDescent="0.25">
      <c r="A601" s="2" t="s">
        <v>180</v>
      </c>
      <c r="B601" s="4" t="s">
        <v>1225</v>
      </c>
      <c r="C601" s="2" t="s">
        <v>1226</v>
      </c>
      <c r="D601" s="2" t="s">
        <v>1227</v>
      </c>
      <c r="E601" s="3">
        <v>41740</v>
      </c>
      <c r="F601" s="2" t="s">
        <v>1228</v>
      </c>
      <c r="G601" s="2"/>
      <c r="H601" s="2" t="s">
        <v>17</v>
      </c>
      <c r="I601" s="3">
        <v>41800</v>
      </c>
      <c r="J601" s="2" t="str">
        <f>HYPERLINK("https://docs.wto.org/imrd/directdoc.asp?DDFDocuments/t/G/TBTN14/KWT215.DOC")</f>
        <v>https://docs.wto.org/imrd/directdoc.asp?DDFDocuments/t/G/TBTN14/KWT215.DOC</v>
      </c>
      <c r="K601" s="2" t="str">
        <f>HYPERLINK("https://docs.wto.org/imrd/directdoc.asp?DDFDocuments/u/G/TBTN14/KWT215.DOC")</f>
        <v>https://docs.wto.org/imrd/directdoc.asp?DDFDocuments/u/G/TBTN14/KWT215.DOC</v>
      </c>
      <c r="L601" s="2" t="str">
        <f>HYPERLINK("https://docs.wto.org/imrd/directdoc.asp?DDFDocuments/v/G/TBTN14/KWT215.DOC")</f>
        <v>https://docs.wto.org/imrd/directdoc.asp?DDFDocuments/v/G/TBTN14/KWT215.DOC</v>
      </c>
      <c r="M601" s="2" t="str">
        <f>HYPERLINK("http://www.epingalert.org/#/details/G/TBT/N/KWT/215")</f>
        <v>http://www.epingalert.org/#/details/G/TBT/N/KWT/215</v>
      </c>
      <c r="N601" s="2"/>
      <c r="O601" s="2"/>
    </row>
    <row r="602" spans="1:15" ht="120" outlineLevel="1" x14ac:dyDescent="0.25">
      <c r="A602" s="2" t="s">
        <v>180</v>
      </c>
      <c r="B602" s="4" t="s">
        <v>1229</v>
      </c>
      <c r="C602" s="2" t="s">
        <v>1230</v>
      </c>
      <c r="D602" s="2" t="s">
        <v>1231</v>
      </c>
      <c r="E602" s="3">
        <v>41740</v>
      </c>
      <c r="F602" s="2" t="s">
        <v>1232</v>
      </c>
      <c r="G602" s="2"/>
      <c r="H602" s="2" t="s">
        <v>17</v>
      </c>
      <c r="I602" s="3">
        <v>41800</v>
      </c>
      <c r="J602" s="2" t="str">
        <f>HYPERLINK("https://docs.wto.org/imrd/directdoc.asp?DDFDocuments/t/G/TBTN14/KWT214.DOC")</f>
        <v>https://docs.wto.org/imrd/directdoc.asp?DDFDocuments/t/G/TBTN14/KWT214.DOC</v>
      </c>
      <c r="K602" s="2" t="str">
        <f>HYPERLINK("https://docs.wto.org/imrd/directdoc.asp?DDFDocuments/u/G/TBTN14/KWT214.DOC")</f>
        <v>https://docs.wto.org/imrd/directdoc.asp?DDFDocuments/u/G/TBTN14/KWT214.DOC</v>
      </c>
      <c r="L602" s="2" t="str">
        <f>HYPERLINK("https://docs.wto.org/imrd/directdoc.asp?DDFDocuments/v/G/TBTN14/KWT214.DOC")</f>
        <v>https://docs.wto.org/imrd/directdoc.asp?DDFDocuments/v/G/TBTN14/KWT214.DOC</v>
      </c>
      <c r="M602" s="2" t="str">
        <f>HYPERLINK("http://www.epingalert.org/#/details/G/TBT/N/KWT/214")</f>
        <v>http://www.epingalert.org/#/details/G/TBT/N/KWT/214</v>
      </c>
      <c r="N602" s="2"/>
      <c r="O602" s="2"/>
    </row>
    <row r="603" spans="1:15" ht="409.5" outlineLevel="1" x14ac:dyDescent="0.25">
      <c r="A603" s="2" t="s">
        <v>47</v>
      </c>
      <c r="B603" s="4" t="s">
        <v>1233</v>
      </c>
      <c r="C603" s="2" t="s">
        <v>1234</v>
      </c>
      <c r="D603" s="2" t="s">
        <v>1235</v>
      </c>
      <c r="E603" s="3">
        <v>41740</v>
      </c>
      <c r="F603" s="2" t="s">
        <v>1236</v>
      </c>
      <c r="G603" s="2"/>
      <c r="H603" s="2" t="s">
        <v>17</v>
      </c>
      <c r="I603" s="3">
        <v>41800</v>
      </c>
      <c r="J603" s="2" t="str">
        <f>HYPERLINK("https://docs.wto.org/imrd/directdoc.asp?DDFDocuments/t/G/TBTN14/ISR791.DOC")</f>
        <v>https://docs.wto.org/imrd/directdoc.asp?DDFDocuments/t/G/TBTN14/ISR791.DOC</v>
      </c>
      <c r="K603" s="2" t="str">
        <f>HYPERLINK("https://docs.wto.org/imrd/directdoc.asp?DDFDocuments/u/G/TBTN14/ISR791.DOC")</f>
        <v>https://docs.wto.org/imrd/directdoc.asp?DDFDocuments/u/G/TBTN14/ISR791.DOC</v>
      </c>
      <c r="L603" s="2" t="str">
        <f>HYPERLINK("https://docs.wto.org/imrd/directdoc.asp?DDFDocuments/v/G/TBTN14/ISR791.DOC")</f>
        <v>https://docs.wto.org/imrd/directdoc.asp?DDFDocuments/v/G/TBTN14/ISR791.DOC</v>
      </c>
      <c r="M603" s="2" t="str">
        <f>HYPERLINK("http://www.epingalert.org/#/details/G/TBT/N/ISR/791")</f>
        <v>http://www.epingalert.org/#/details/G/TBT/N/ISR/791</v>
      </c>
      <c r="N603" s="2"/>
      <c r="O603" s="2"/>
    </row>
    <row r="604" spans="1:15" ht="60" outlineLevel="1" x14ac:dyDescent="0.25">
      <c r="A604" s="2" t="s">
        <v>1198</v>
      </c>
      <c r="B604" s="4" t="s">
        <v>2350</v>
      </c>
      <c r="C604" s="2"/>
      <c r="D604" s="2"/>
      <c r="E604" s="3">
        <v>41738</v>
      </c>
      <c r="F604" s="2" t="s">
        <v>2351</v>
      </c>
      <c r="G604" s="2" t="s">
        <v>2352</v>
      </c>
      <c r="H604" s="2" t="s">
        <v>17</v>
      </c>
      <c r="I604" s="3">
        <v>41821</v>
      </c>
      <c r="J604" s="2" t="str">
        <f>HYPERLINK("https://docs.wto.org/imrd/directdoc.asp?DDFDocuments/t/G/TBTN14/ECU212.DOC")</f>
        <v>https://docs.wto.org/imrd/directdoc.asp?DDFDocuments/t/G/TBTN14/ECU212.DOC</v>
      </c>
      <c r="K604" s="2" t="str">
        <f>HYPERLINK("https://docs.wto.org/imrd/directdoc.asp?DDFDocuments/u/G/TBTN14/ECU212.DOC")</f>
        <v>https://docs.wto.org/imrd/directdoc.asp?DDFDocuments/u/G/TBTN14/ECU212.DOC</v>
      </c>
      <c r="L604" s="2" t="str">
        <f>HYPERLINK("https://docs.wto.org/imrd/directdoc.asp?DDFDocuments/v/G/TBTN14/ECU212.DOC")</f>
        <v>https://docs.wto.org/imrd/directdoc.asp?DDFDocuments/v/G/TBTN14/ECU212.DOC</v>
      </c>
      <c r="M604" s="2" t="str">
        <f>HYPERLINK("http://www.epingalert.org/#/details/G/TBT/N/ECU/212")</f>
        <v>http://www.epingalert.org/#/details/G/TBT/N/ECU/212</v>
      </c>
      <c r="N604" s="2"/>
      <c r="O604" s="2"/>
    </row>
    <row r="605" spans="1:15" ht="60" outlineLevel="1" x14ac:dyDescent="0.25">
      <c r="A605" s="2" t="s">
        <v>180</v>
      </c>
      <c r="B605" s="4" t="s">
        <v>1237</v>
      </c>
      <c r="C605" s="2" t="s">
        <v>1238</v>
      </c>
      <c r="D605" s="2" t="s">
        <v>1239</v>
      </c>
      <c r="E605" s="3">
        <v>41737</v>
      </c>
      <c r="F605" s="2" t="s">
        <v>1240</v>
      </c>
      <c r="G605" s="2"/>
      <c r="H605" s="2" t="s">
        <v>17</v>
      </c>
      <c r="I605" s="3">
        <v>41797</v>
      </c>
      <c r="J605" s="2" t="str">
        <f>HYPERLINK("https://docs.wto.org/imrd/directdoc.asp?DDFDocuments/t/G/TBTN14/KWT213.DOC")</f>
        <v>https://docs.wto.org/imrd/directdoc.asp?DDFDocuments/t/G/TBTN14/KWT213.DOC</v>
      </c>
      <c r="K605" s="2" t="str">
        <f>HYPERLINK("https://docs.wto.org/imrd/directdoc.asp?DDFDocuments/u/G/TBTN14/KWT213.DOC")</f>
        <v>https://docs.wto.org/imrd/directdoc.asp?DDFDocuments/u/G/TBTN14/KWT213.DOC</v>
      </c>
      <c r="L605" s="2" t="str">
        <f>HYPERLINK("https://docs.wto.org/imrd/directdoc.asp?DDFDocuments/v/G/TBTN14/KWT213.DOC")</f>
        <v>https://docs.wto.org/imrd/directdoc.asp?DDFDocuments/v/G/TBTN14/KWT213.DOC</v>
      </c>
      <c r="M605" s="2" t="str">
        <f>HYPERLINK("http://www.epingalert.org/#/details/G/TBT/N/KWT/213")</f>
        <v>http://www.epingalert.org/#/details/G/TBT/N/KWT/213</v>
      </c>
      <c r="N605" s="2"/>
      <c r="O605" s="2"/>
    </row>
    <row r="606" spans="1:15" ht="60" outlineLevel="1" x14ac:dyDescent="0.25">
      <c r="A606" s="2" t="s">
        <v>47</v>
      </c>
      <c r="B606" s="4" t="s">
        <v>1241</v>
      </c>
      <c r="C606" s="2" t="s">
        <v>1242</v>
      </c>
      <c r="D606" s="2" t="s">
        <v>1243</v>
      </c>
      <c r="E606" s="3">
        <v>41736</v>
      </c>
      <c r="F606" s="2" t="s">
        <v>1244</v>
      </c>
      <c r="G606" s="2"/>
      <c r="H606" s="2"/>
      <c r="I606" s="3">
        <v>41796</v>
      </c>
      <c r="J606" s="2" t="str">
        <f>HYPERLINK("https://docs.wto.org/imrd/directdoc.asp?DDFDocuments/t/G/TBTN14/ISR771.DOC")</f>
        <v>https://docs.wto.org/imrd/directdoc.asp?DDFDocuments/t/G/TBTN14/ISR771.DOC</v>
      </c>
      <c r="K606" s="2" t="str">
        <f>HYPERLINK("https://docs.wto.org/imrd/directdoc.asp?DDFDocuments/u/G/TBTN14/ISR771.DOC")</f>
        <v>https://docs.wto.org/imrd/directdoc.asp?DDFDocuments/u/G/TBTN14/ISR771.DOC</v>
      </c>
      <c r="L606" s="2" t="str">
        <f>HYPERLINK("https://docs.wto.org/imrd/directdoc.asp?DDFDocuments/v/G/TBTN14/ISR771.DOC")</f>
        <v>https://docs.wto.org/imrd/directdoc.asp?DDFDocuments/v/G/TBTN14/ISR771.DOC</v>
      </c>
      <c r="M606" s="2" t="str">
        <f>HYPERLINK("http://www.epingalert.org/#/details/G/TBT/N/ISR/771")</f>
        <v>http://www.epingalert.org/#/details/G/TBT/N/ISR/771</v>
      </c>
      <c r="N606" s="2"/>
      <c r="O606" s="2"/>
    </row>
    <row r="607" spans="1:15" ht="60" outlineLevel="1" x14ac:dyDescent="0.25">
      <c r="A607" s="2" t="s">
        <v>47</v>
      </c>
      <c r="B607" s="4" t="s">
        <v>1245</v>
      </c>
      <c r="C607" s="2" t="s">
        <v>1246</v>
      </c>
      <c r="D607" s="2" t="s">
        <v>1247</v>
      </c>
      <c r="E607" s="3">
        <v>41736</v>
      </c>
      <c r="F607" s="2" t="s">
        <v>1248</v>
      </c>
      <c r="G607" s="2"/>
      <c r="H607" s="2"/>
      <c r="I607" s="3">
        <v>41796</v>
      </c>
      <c r="J607" s="2" t="str">
        <f>HYPERLINK("https://docs.wto.org/imrd/directdoc.asp?DDFDocuments/t/G/TBTN14/ISR768.DOC")</f>
        <v>https://docs.wto.org/imrd/directdoc.asp?DDFDocuments/t/G/TBTN14/ISR768.DOC</v>
      </c>
      <c r="K607" s="2" t="str">
        <f>HYPERLINK("https://docs.wto.org/imrd/directdoc.asp?DDFDocuments/u/G/TBTN14/ISR768.DOC")</f>
        <v>https://docs.wto.org/imrd/directdoc.asp?DDFDocuments/u/G/TBTN14/ISR768.DOC</v>
      </c>
      <c r="L607" s="2" t="str">
        <f>HYPERLINK("https://docs.wto.org/imrd/directdoc.asp?DDFDocuments/v/G/TBTN14/ISR768.DOC")</f>
        <v>https://docs.wto.org/imrd/directdoc.asp?DDFDocuments/v/G/TBTN14/ISR768.DOC</v>
      </c>
      <c r="M607" s="2" t="str">
        <f>HYPERLINK("http://www.epingalert.org/#/details/G/TBT/N/ISR/768")</f>
        <v>http://www.epingalert.org/#/details/G/TBT/N/ISR/768</v>
      </c>
      <c r="N607" s="2"/>
      <c r="O607" s="2"/>
    </row>
    <row r="608" spans="1:15" ht="60" outlineLevel="1" x14ac:dyDescent="0.25">
      <c r="A608" s="2" t="s">
        <v>47</v>
      </c>
      <c r="B608" s="4" t="s">
        <v>1249</v>
      </c>
      <c r="C608" s="2" t="s">
        <v>1250</v>
      </c>
      <c r="D608" s="2" t="s">
        <v>1251</v>
      </c>
      <c r="E608" s="3">
        <v>41736</v>
      </c>
      <c r="F608" s="2" t="s">
        <v>1252</v>
      </c>
      <c r="G608" s="2"/>
      <c r="H608" s="2"/>
      <c r="I608" s="3">
        <v>41796</v>
      </c>
      <c r="J608" s="2" t="str">
        <f>HYPERLINK("https://docs.wto.org/imrd/directdoc.asp?DDFDocuments/t/G/TBTN14/ISR766.DOC")</f>
        <v>https://docs.wto.org/imrd/directdoc.asp?DDFDocuments/t/G/TBTN14/ISR766.DOC</v>
      </c>
      <c r="K608" s="2" t="str">
        <f>HYPERLINK("https://docs.wto.org/imrd/directdoc.asp?DDFDocuments/u/G/TBTN14/ISR766.DOC")</f>
        <v>https://docs.wto.org/imrd/directdoc.asp?DDFDocuments/u/G/TBTN14/ISR766.DOC</v>
      </c>
      <c r="L608" s="2" t="str">
        <f>HYPERLINK("https://docs.wto.org/imrd/directdoc.asp?DDFDocuments/v/G/TBTN14/ISR766.DOC")</f>
        <v>https://docs.wto.org/imrd/directdoc.asp?DDFDocuments/v/G/TBTN14/ISR766.DOC</v>
      </c>
      <c r="M608" s="2" t="str">
        <f>HYPERLINK("http://www.epingalert.org/#/details/G/TBT/N/ISR/766")</f>
        <v>http://www.epingalert.org/#/details/G/TBT/N/ISR/766</v>
      </c>
      <c r="N608" s="2"/>
      <c r="O608" s="2"/>
    </row>
    <row r="609" spans="1:15" ht="150" outlineLevel="1" x14ac:dyDescent="0.25">
      <c r="A609" s="2" t="s">
        <v>12</v>
      </c>
      <c r="B609" s="4" t="s">
        <v>1253</v>
      </c>
      <c r="C609" s="2" t="s">
        <v>1254</v>
      </c>
      <c r="D609" s="2" t="s">
        <v>1255</v>
      </c>
      <c r="E609" s="3">
        <v>41733</v>
      </c>
      <c r="F609" s="2" t="s">
        <v>1256</v>
      </c>
      <c r="G609" s="2"/>
      <c r="H609" s="2" t="s">
        <v>1257</v>
      </c>
      <c r="I609" s="3">
        <v>41793</v>
      </c>
      <c r="J609" s="2" t="str">
        <f>HYPERLINK("https://docs.wto.org/imrd/directdoc.asp?DDFDocuments/t/G/TBTN14/EU211.DOC")</f>
        <v>https://docs.wto.org/imrd/directdoc.asp?DDFDocuments/t/G/TBTN14/EU211.DOC</v>
      </c>
      <c r="K609" s="2" t="str">
        <f>HYPERLINK("https://docs.wto.org/imrd/directdoc.asp?DDFDocuments/u/G/TBTN14/EU211.DOC")</f>
        <v>https://docs.wto.org/imrd/directdoc.asp?DDFDocuments/u/G/TBTN14/EU211.DOC</v>
      </c>
      <c r="L609" s="2" t="str">
        <f>HYPERLINK("https://docs.wto.org/imrd/directdoc.asp?DDFDocuments/v/G/TBTN14/EU211.DOC")</f>
        <v>https://docs.wto.org/imrd/directdoc.asp?DDFDocuments/v/G/TBTN14/EU211.DOC</v>
      </c>
      <c r="M609" s="2" t="str">
        <f>HYPERLINK("http://www.epingalert.org/#/details/G/TBT/N/EU/211")</f>
        <v>http://www.epingalert.org/#/details/G/TBT/N/EU/211</v>
      </c>
      <c r="N609" s="2"/>
      <c r="O609" s="2"/>
    </row>
    <row r="610" spans="1:15" ht="60" outlineLevel="1" x14ac:dyDescent="0.25">
      <c r="A610" s="2" t="s">
        <v>47</v>
      </c>
      <c r="B610" s="4" t="s">
        <v>1258</v>
      </c>
      <c r="C610" s="2" t="s">
        <v>1259</v>
      </c>
      <c r="D610" s="2" t="s">
        <v>1260</v>
      </c>
      <c r="E610" s="3">
        <v>41733</v>
      </c>
      <c r="F610" s="2" t="s">
        <v>1261</v>
      </c>
      <c r="G610" s="2"/>
      <c r="H610" s="2"/>
      <c r="I610" s="3">
        <v>41793</v>
      </c>
      <c r="J610" s="2" t="str">
        <f>HYPERLINK("https://docs.wto.org/imrd/directdoc.asp?DDFDocuments/t/G/TBTN14/ISR759.DOC")</f>
        <v>https://docs.wto.org/imrd/directdoc.asp?DDFDocuments/t/G/TBTN14/ISR759.DOC</v>
      </c>
      <c r="K610" s="2" t="str">
        <f>HYPERLINK("https://docs.wto.org/imrd/directdoc.asp?DDFDocuments/u/G/TBTN14/ISR759.DOC")</f>
        <v>https://docs.wto.org/imrd/directdoc.asp?DDFDocuments/u/G/TBTN14/ISR759.DOC</v>
      </c>
      <c r="L610" s="2" t="str">
        <f>HYPERLINK("https://docs.wto.org/imrd/directdoc.asp?DDFDocuments/v/G/TBTN14/ISR759.DOC")</f>
        <v>https://docs.wto.org/imrd/directdoc.asp?DDFDocuments/v/G/TBTN14/ISR759.DOC</v>
      </c>
      <c r="M610" s="2" t="str">
        <f>HYPERLINK("http://www.epingalert.org/#/details/G/TBT/N/ISR/759")</f>
        <v>http://www.epingalert.org/#/details/G/TBT/N/ISR/759</v>
      </c>
      <c r="N610" s="2"/>
      <c r="O610" s="2"/>
    </row>
    <row r="611" spans="1:15" ht="75" outlineLevel="1" x14ac:dyDescent="0.25">
      <c r="A611" s="2" t="s">
        <v>1129</v>
      </c>
      <c r="B611" s="4" t="s">
        <v>2353</v>
      </c>
      <c r="C611" s="2" t="s">
        <v>2354</v>
      </c>
      <c r="D611" s="2" t="s">
        <v>2355</v>
      </c>
      <c r="E611" s="3">
        <v>41733</v>
      </c>
      <c r="F611" s="2"/>
      <c r="G611" s="2" t="s">
        <v>2179</v>
      </c>
      <c r="H611" s="2" t="s">
        <v>699</v>
      </c>
      <c r="I611" s="3">
        <v>41779</v>
      </c>
      <c r="J611" s="2" t="str">
        <f>HYPERLINK("https://docs.wto.org/imrd/directdoc.asp?DDFDocuments/t/G/TBTN14/KEN407.DOC")</f>
        <v>https://docs.wto.org/imrd/directdoc.asp?DDFDocuments/t/G/TBTN14/KEN407.DOC</v>
      </c>
      <c r="K611" s="2" t="str">
        <f>HYPERLINK("https://docs.wto.org/imrd/directdoc.asp?DDFDocuments/u/G/TBTN14/KEN407.DOC")</f>
        <v>https://docs.wto.org/imrd/directdoc.asp?DDFDocuments/u/G/TBTN14/KEN407.DOC</v>
      </c>
      <c r="L611" s="2" t="str">
        <f>HYPERLINK("https://docs.wto.org/imrd/directdoc.asp?DDFDocuments/v/G/TBTN14/KEN407.DOC")</f>
        <v>https://docs.wto.org/imrd/directdoc.asp?DDFDocuments/v/G/TBTN14/KEN407.DOC</v>
      </c>
      <c r="M611" s="2" t="str">
        <f>HYPERLINK("http://www.epingalert.org/#/details/G/TBT/N/KEN/407")</f>
        <v>http://www.epingalert.org/#/details/G/TBT/N/KEN/407</v>
      </c>
      <c r="N611" s="2"/>
      <c r="O611" s="2"/>
    </row>
    <row r="612" spans="1:15" ht="409.5" outlineLevel="1" x14ac:dyDescent="0.25">
      <c r="A612" s="2" t="s">
        <v>970</v>
      </c>
      <c r="B612" s="4" t="s">
        <v>1262</v>
      </c>
      <c r="C612" s="2" t="s">
        <v>1263</v>
      </c>
      <c r="D612" s="2" t="s">
        <v>1264</v>
      </c>
      <c r="E612" s="3">
        <v>41732</v>
      </c>
      <c r="F612" s="2" t="s">
        <v>1265</v>
      </c>
      <c r="G612" s="2"/>
      <c r="H612" s="2" t="s">
        <v>120</v>
      </c>
      <c r="I612" s="3">
        <v>41792</v>
      </c>
      <c r="J612" s="2" t="str">
        <f>HYPERLINK("https://docs.wto.org/imrd/directdoc.asp?DDFDocuments/t/G/TBTN14/GHA3R1.DOC")</f>
        <v>https://docs.wto.org/imrd/directdoc.asp?DDFDocuments/t/G/TBTN14/GHA3R1.DOC</v>
      </c>
      <c r="K612" s="2" t="str">
        <f>HYPERLINK("https://docs.wto.org/imrd/directdoc.asp?DDFDocuments/u/G/TBTN14/GHA3R1.DOC")</f>
        <v>https://docs.wto.org/imrd/directdoc.asp?DDFDocuments/u/G/TBTN14/GHA3R1.DOC</v>
      </c>
      <c r="L612" s="2" t="str">
        <f>HYPERLINK("https://docs.wto.org/imrd/directdoc.asp?DDFDocuments/v/G/TBTN14/GHA3R1.DOC")</f>
        <v>https://docs.wto.org/imrd/directdoc.asp?DDFDocuments/v/G/TBTN14/GHA3R1.DOC</v>
      </c>
      <c r="M612" s="2" t="str">
        <f>HYPERLINK("http://www.epingalert.org/#/details/G/TBT/N/GHA/3/Rev.1")</f>
        <v>http://www.epingalert.org/#/details/G/TBT/N/GHA/3/Rev.1</v>
      </c>
      <c r="N612" s="2"/>
      <c r="O612" s="2"/>
    </row>
    <row r="613" spans="1:15" ht="150" outlineLevel="1" x14ac:dyDescent="0.25">
      <c r="A613" s="2" t="s">
        <v>77</v>
      </c>
      <c r="B613" s="4" t="s">
        <v>1266</v>
      </c>
      <c r="C613" s="2" t="s">
        <v>1267</v>
      </c>
      <c r="D613" s="2" t="s">
        <v>1268</v>
      </c>
      <c r="E613" s="3">
        <v>41732</v>
      </c>
      <c r="F613" s="2" t="s">
        <v>1269</v>
      </c>
      <c r="G613" s="2"/>
      <c r="H613" s="2" t="s">
        <v>82</v>
      </c>
      <c r="I613" s="2"/>
      <c r="J613" s="2" t="str">
        <f>HYPERLINK("https://docs.wto.org/imrd/directdoc.asp?DDFDocuments/t/G/TBTN14/TPKM159.DOC")</f>
        <v>https://docs.wto.org/imrd/directdoc.asp?DDFDocuments/t/G/TBTN14/TPKM159.DOC</v>
      </c>
      <c r="K613" s="2" t="str">
        <f>HYPERLINK("https://docs.wto.org/imrd/directdoc.asp?DDFDocuments/u/G/TBTN14/TPKM159.DOC")</f>
        <v>https://docs.wto.org/imrd/directdoc.asp?DDFDocuments/u/G/TBTN14/TPKM159.DOC</v>
      </c>
      <c r="L613" s="2" t="str">
        <f>HYPERLINK("https://docs.wto.org/imrd/directdoc.asp?DDFDocuments/v/G/TBTN14/TPKM159.DOC")</f>
        <v>https://docs.wto.org/imrd/directdoc.asp?DDFDocuments/v/G/TBTN14/TPKM159.DOC</v>
      </c>
      <c r="M613" s="2" t="str">
        <f>HYPERLINK("http://www.epingalert.org/#/details/G/TBT/N/TPKM/159")</f>
        <v>http://www.epingalert.org/#/details/G/TBT/N/TPKM/159</v>
      </c>
      <c r="N613" s="2"/>
      <c r="O613" s="2"/>
    </row>
    <row r="614" spans="1:15" ht="255" outlineLevel="1" x14ac:dyDescent="0.25">
      <c r="A614" s="2" t="s">
        <v>77</v>
      </c>
      <c r="B614" s="4" t="s">
        <v>1270</v>
      </c>
      <c r="C614" s="2" t="s">
        <v>1271</v>
      </c>
      <c r="D614" s="2" t="s">
        <v>1272</v>
      </c>
      <c r="E614" s="3">
        <v>41730</v>
      </c>
      <c r="F614" s="2" t="s">
        <v>221</v>
      </c>
      <c r="G614" s="2"/>
      <c r="H614" s="2" t="s">
        <v>17</v>
      </c>
      <c r="I614" s="2"/>
      <c r="J614" s="2" t="str">
        <f>HYPERLINK("https://docs.wto.org/imrd/directdoc.asp?DDFDocuments/t/G/TBTN14/TPKM158.DOC")</f>
        <v>https://docs.wto.org/imrd/directdoc.asp?DDFDocuments/t/G/TBTN14/TPKM158.DOC</v>
      </c>
      <c r="K614" s="2" t="str">
        <f>HYPERLINK("https://docs.wto.org/imrd/directdoc.asp?DDFDocuments/u/G/TBTN14/TPKM158.DOC")</f>
        <v>https://docs.wto.org/imrd/directdoc.asp?DDFDocuments/u/G/TBTN14/TPKM158.DOC</v>
      </c>
      <c r="L614" s="2" t="str">
        <f>HYPERLINK("https://docs.wto.org/imrd/directdoc.asp?DDFDocuments/v/G/TBTN14/TPKM158.DOC")</f>
        <v>https://docs.wto.org/imrd/directdoc.asp?DDFDocuments/v/G/TBTN14/TPKM158.DOC</v>
      </c>
      <c r="M614" s="2" t="str">
        <f>HYPERLINK("http://www.epingalert.org/#/details/G/TBT/N/TPKM/158")</f>
        <v>http://www.epingalert.org/#/details/G/TBT/N/TPKM/158</v>
      </c>
      <c r="N614" s="2"/>
      <c r="O614" s="2"/>
    </row>
    <row r="615" spans="1:15" ht="135" outlineLevel="1" x14ac:dyDescent="0.25">
      <c r="A615" s="2" t="s">
        <v>12</v>
      </c>
      <c r="B615" s="4" t="s">
        <v>1273</v>
      </c>
      <c r="C615" s="2" t="s">
        <v>1274</v>
      </c>
      <c r="D615" s="2" t="s">
        <v>1275</v>
      </c>
      <c r="E615" s="3">
        <v>41729</v>
      </c>
      <c r="F615" s="2" t="s">
        <v>46</v>
      </c>
      <c r="G615" s="2"/>
      <c r="H615" s="2" t="s">
        <v>17</v>
      </c>
      <c r="I615" s="3">
        <v>41789</v>
      </c>
      <c r="J615" s="2" t="str">
        <f>HYPERLINK("https://docs.wto.org/imrd/directdoc.asp?DDFDocuments/t/G/TBTN14/EU208.DOC")</f>
        <v>https://docs.wto.org/imrd/directdoc.asp?DDFDocuments/t/G/TBTN14/EU208.DOC</v>
      </c>
      <c r="K615" s="2" t="str">
        <f>HYPERLINK("https://docs.wto.org/imrd/directdoc.asp?DDFDocuments/u/G/TBTN14/EU208.DOC")</f>
        <v>https://docs.wto.org/imrd/directdoc.asp?DDFDocuments/u/G/TBTN14/EU208.DOC</v>
      </c>
      <c r="L615" s="2" t="str">
        <f>HYPERLINK("https://docs.wto.org/imrd/directdoc.asp?DDFDocuments/v/G/TBTN14/EU208.DOC")</f>
        <v>https://docs.wto.org/imrd/directdoc.asp?DDFDocuments/v/G/TBTN14/EU208.DOC</v>
      </c>
      <c r="M615" s="2" t="str">
        <f>HYPERLINK("http://www.epingalert.org/#/details/G/TBT/N/EU/208")</f>
        <v>http://www.epingalert.org/#/details/G/TBT/N/EU/208</v>
      </c>
      <c r="N615" s="2"/>
      <c r="O615" s="2"/>
    </row>
    <row r="616" spans="1:15" ht="135" outlineLevel="1" x14ac:dyDescent="0.25">
      <c r="A616" s="2" t="s">
        <v>12</v>
      </c>
      <c r="B616" s="4" t="s">
        <v>1276</v>
      </c>
      <c r="C616" s="2" t="s">
        <v>1277</v>
      </c>
      <c r="D616" s="2" t="s">
        <v>508</v>
      </c>
      <c r="E616" s="3">
        <v>41726</v>
      </c>
      <c r="F616" s="2" t="s">
        <v>86</v>
      </c>
      <c r="G616" s="2"/>
      <c r="H616" s="2" t="s">
        <v>17</v>
      </c>
      <c r="I616" s="3">
        <v>41786</v>
      </c>
      <c r="J616" s="2" t="str">
        <f>HYPERLINK("https://docs.wto.org/imrd/directdoc.asp?DDFDocuments/t/G/TBTN14/EU207.DOC")</f>
        <v>https://docs.wto.org/imrd/directdoc.asp?DDFDocuments/t/G/TBTN14/EU207.DOC</v>
      </c>
      <c r="K616" s="2" t="str">
        <f>HYPERLINK("https://docs.wto.org/imrd/directdoc.asp?DDFDocuments/u/G/TBTN14/EU207.DOC")</f>
        <v>https://docs.wto.org/imrd/directdoc.asp?DDFDocuments/u/G/TBTN14/EU207.DOC</v>
      </c>
      <c r="L616" s="2" t="str">
        <f>HYPERLINK("https://docs.wto.org/imrd/directdoc.asp?DDFDocuments/v/G/TBTN14/EU207.DOC")</f>
        <v>https://docs.wto.org/imrd/directdoc.asp?DDFDocuments/v/G/TBTN14/EU207.DOC</v>
      </c>
      <c r="M616" s="2" t="str">
        <f>HYPERLINK("http://www.epingalert.org/#/details/G/TBT/N/EU/207")</f>
        <v>http://www.epingalert.org/#/details/G/TBT/N/EU/207</v>
      </c>
      <c r="N616" s="2"/>
      <c r="O616" s="2"/>
    </row>
    <row r="617" spans="1:15" ht="409.5" outlineLevel="1" x14ac:dyDescent="0.25">
      <c r="A617" s="2" t="s">
        <v>31</v>
      </c>
      <c r="B617" s="4" t="s">
        <v>1829</v>
      </c>
      <c r="C617" s="2" t="s">
        <v>1830</v>
      </c>
      <c r="D617" s="2" t="s">
        <v>1831</v>
      </c>
      <c r="E617" s="3">
        <v>41726</v>
      </c>
      <c r="F617" s="2" t="s">
        <v>1832</v>
      </c>
      <c r="G617" s="2" t="s">
        <v>1833</v>
      </c>
      <c r="H617" s="2" t="s">
        <v>82</v>
      </c>
      <c r="I617" s="3">
        <v>41786</v>
      </c>
      <c r="J617" s="2" t="str">
        <f>HYPERLINK("https://docs.wto.org/imrd/directdoc.asp?DDFDocuments/t/G/TBTN14/THA437.DOC")</f>
        <v>https://docs.wto.org/imrd/directdoc.asp?DDFDocuments/t/G/TBTN14/THA437.DOC</v>
      </c>
      <c r="K617" s="2" t="str">
        <f>HYPERLINK("https://docs.wto.org/imrd/directdoc.asp?DDFDocuments/u/G/TBTN14/THA437.DOC")</f>
        <v>https://docs.wto.org/imrd/directdoc.asp?DDFDocuments/u/G/TBTN14/THA437.DOC</v>
      </c>
      <c r="L617" s="2" t="str">
        <f>HYPERLINK("https://docs.wto.org/imrd/directdoc.asp?DDFDocuments/v/G/TBTN14/THA437.DOC")</f>
        <v>https://docs.wto.org/imrd/directdoc.asp?DDFDocuments/v/G/TBTN14/THA437.DOC</v>
      </c>
      <c r="M617" s="2" t="str">
        <f>HYPERLINK("http://www.epingalert.org/#/details/G/TBT/N/THA/437")</f>
        <v>http://www.epingalert.org/#/details/G/TBT/N/THA/437</v>
      </c>
      <c r="N617" s="2"/>
      <c r="O617" s="2"/>
    </row>
    <row r="618" spans="1:15" ht="409.5" outlineLevel="1" x14ac:dyDescent="0.25">
      <c r="A618" s="2" t="s">
        <v>31</v>
      </c>
      <c r="B618" s="4" t="s">
        <v>1278</v>
      </c>
      <c r="C618" s="2" t="s">
        <v>1279</v>
      </c>
      <c r="D618" s="2" t="s">
        <v>1280</v>
      </c>
      <c r="E618" s="3">
        <v>41725</v>
      </c>
      <c r="F618" s="2" t="s">
        <v>1281</v>
      </c>
      <c r="G618" s="2"/>
      <c r="H618" s="2" t="s">
        <v>17</v>
      </c>
      <c r="I618" s="3">
        <v>41785</v>
      </c>
      <c r="J618" s="2" t="str">
        <f>HYPERLINK("https://docs.wto.org/imrd/directdoc.asp?DDFDocuments/t/G/TBTN14/THA436.DOC")</f>
        <v>https://docs.wto.org/imrd/directdoc.asp?DDFDocuments/t/G/TBTN14/THA436.DOC</v>
      </c>
      <c r="K618" s="2" t="str">
        <f>HYPERLINK("https://docs.wto.org/imrd/directdoc.asp?DDFDocuments/u/G/TBTN14/THA436.DOC")</f>
        <v>https://docs.wto.org/imrd/directdoc.asp?DDFDocuments/u/G/TBTN14/THA436.DOC</v>
      </c>
      <c r="L618" s="2" t="str">
        <f>HYPERLINK("https://docs.wto.org/imrd/directdoc.asp?DDFDocuments/v/G/TBTN14/THA436.DOC")</f>
        <v>https://docs.wto.org/imrd/directdoc.asp?DDFDocuments/v/G/TBTN14/THA436.DOC</v>
      </c>
      <c r="M618" s="2" t="str">
        <f>HYPERLINK("http://www.epingalert.org/#/details/G/TBT/N/THA/436")</f>
        <v>http://www.epingalert.org/#/details/G/TBT/N/THA/436</v>
      </c>
      <c r="N618" s="2"/>
      <c r="O618" s="2"/>
    </row>
    <row r="619" spans="1:15" ht="409.5" outlineLevel="1" x14ac:dyDescent="0.25">
      <c r="A619" s="2" t="s">
        <v>31</v>
      </c>
      <c r="B619" s="4" t="s">
        <v>2356</v>
      </c>
      <c r="C619" s="2" t="s">
        <v>2357</v>
      </c>
      <c r="D619" s="2" t="s">
        <v>2358</v>
      </c>
      <c r="E619" s="3">
        <v>41725</v>
      </c>
      <c r="F619" s="2" t="s">
        <v>2359</v>
      </c>
      <c r="G619" s="2" t="s">
        <v>2360</v>
      </c>
      <c r="H619" s="2" t="s">
        <v>17</v>
      </c>
      <c r="I619" s="3">
        <v>41785</v>
      </c>
      <c r="J619" s="2" t="str">
        <f>HYPERLINK("https://docs.wto.org/imrd/directdoc.asp?DDFDocuments/t/G/TBTN14/THA434.DOC")</f>
        <v>https://docs.wto.org/imrd/directdoc.asp?DDFDocuments/t/G/TBTN14/THA434.DOC</v>
      </c>
      <c r="K619" s="2" t="str">
        <f>HYPERLINK("https://docs.wto.org/imrd/directdoc.asp?DDFDocuments/u/G/TBTN14/THA434.DOC")</f>
        <v>https://docs.wto.org/imrd/directdoc.asp?DDFDocuments/u/G/TBTN14/THA434.DOC</v>
      </c>
      <c r="L619" s="2" t="str">
        <f>HYPERLINK("https://docs.wto.org/imrd/directdoc.asp?DDFDocuments/v/G/TBTN14/THA434.DOC")</f>
        <v>https://docs.wto.org/imrd/directdoc.asp?DDFDocuments/v/G/TBTN14/THA434.DOC</v>
      </c>
      <c r="M619" s="2" t="str">
        <f>HYPERLINK("http://www.epingalert.org/#/details/G/TBT/N/THA/434")</f>
        <v>http://www.epingalert.org/#/details/G/TBT/N/THA/434</v>
      </c>
      <c r="N619" s="2"/>
      <c r="O619" s="2"/>
    </row>
    <row r="620" spans="1:15" ht="90" outlineLevel="1" x14ac:dyDescent="0.25">
      <c r="A620" s="2" t="s">
        <v>12</v>
      </c>
      <c r="B620" s="4" t="s">
        <v>1282</v>
      </c>
      <c r="C620" s="2" t="s">
        <v>1283</v>
      </c>
      <c r="D620" s="2" t="s">
        <v>1284</v>
      </c>
      <c r="E620" s="3">
        <v>41723</v>
      </c>
      <c r="F620" s="2" t="s">
        <v>46</v>
      </c>
      <c r="G620" s="2"/>
      <c r="H620" s="2" t="s">
        <v>17</v>
      </c>
      <c r="I620" s="3">
        <v>41783</v>
      </c>
      <c r="J620" s="2" t="str">
        <f>HYPERLINK("https://docs.wto.org/imrd/directdoc.asp?DDFDocuments/t/G/TBTN14/EU205.DOC")</f>
        <v>https://docs.wto.org/imrd/directdoc.asp?DDFDocuments/t/G/TBTN14/EU205.DOC</v>
      </c>
      <c r="K620" s="2" t="str">
        <f>HYPERLINK("https://docs.wto.org/imrd/directdoc.asp?DDFDocuments/u/G/TBTN14/EU205.DOC")</f>
        <v>https://docs.wto.org/imrd/directdoc.asp?DDFDocuments/u/G/TBTN14/EU205.DOC</v>
      </c>
      <c r="L620" s="2" t="str">
        <f>HYPERLINK("https://docs.wto.org/imrd/directdoc.asp?DDFDocuments/v/G/TBTN14/EU205.DOC")</f>
        <v>https://docs.wto.org/imrd/directdoc.asp?DDFDocuments/v/G/TBTN14/EU205.DOC</v>
      </c>
      <c r="M620" s="2" t="str">
        <f>HYPERLINK("http://www.epingalert.org/#/details/G/TBT/N/EU/205")</f>
        <v>http://www.epingalert.org/#/details/G/TBT/N/EU/205</v>
      </c>
      <c r="N620" s="2"/>
      <c r="O620" s="2"/>
    </row>
    <row r="621" spans="1:15" ht="135" outlineLevel="1" x14ac:dyDescent="0.25">
      <c r="A621" s="2" t="s">
        <v>12</v>
      </c>
      <c r="B621" s="4" t="s">
        <v>1285</v>
      </c>
      <c r="C621" s="2" t="s">
        <v>1286</v>
      </c>
      <c r="D621" s="2" t="s">
        <v>1287</v>
      </c>
      <c r="E621" s="3">
        <v>41723</v>
      </c>
      <c r="F621" s="2" t="s">
        <v>46</v>
      </c>
      <c r="G621" s="2"/>
      <c r="H621" s="2" t="s">
        <v>17</v>
      </c>
      <c r="I621" s="3">
        <v>41783</v>
      </c>
      <c r="J621" s="2" t="str">
        <f>HYPERLINK("https://docs.wto.org/imrd/directdoc.asp?DDFDocuments/t/G/TBTN14/EU204.DOC")</f>
        <v>https://docs.wto.org/imrd/directdoc.asp?DDFDocuments/t/G/TBTN14/EU204.DOC</v>
      </c>
      <c r="K621" s="2" t="str">
        <f>HYPERLINK("https://docs.wto.org/imrd/directdoc.asp?DDFDocuments/u/G/TBTN14/EU204.DOC")</f>
        <v>https://docs.wto.org/imrd/directdoc.asp?DDFDocuments/u/G/TBTN14/EU204.DOC</v>
      </c>
      <c r="L621" s="2" t="str">
        <f>HYPERLINK("https://docs.wto.org/imrd/directdoc.asp?DDFDocuments/v/G/TBTN14/EU204.DOC")</f>
        <v>https://docs.wto.org/imrd/directdoc.asp?DDFDocuments/v/G/TBTN14/EU204.DOC</v>
      </c>
      <c r="M621" s="2" t="str">
        <f>HYPERLINK("http://www.epingalert.org/#/details/G/TBT/N/EU/204")</f>
        <v>http://www.epingalert.org/#/details/G/TBT/N/EU/204</v>
      </c>
      <c r="N621" s="2"/>
      <c r="O621" s="2"/>
    </row>
    <row r="622" spans="1:15" ht="90" outlineLevel="1" x14ac:dyDescent="0.25">
      <c r="A622" s="2" t="s">
        <v>178</v>
      </c>
      <c r="B622" s="4" t="s">
        <v>1604</v>
      </c>
      <c r="C622" s="2" t="s">
        <v>1605</v>
      </c>
      <c r="D622" s="2" t="s">
        <v>1606</v>
      </c>
      <c r="E622" s="3">
        <v>41722</v>
      </c>
      <c r="F622" s="2" t="s">
        <v>1607</v>
      </c>
      <c r="G622" s="2"/>
      <c r="H622" s="2" t="s">
        <v>30</v>
      </c>
      <c r="I622" s="3">
        <v>41782</v>
      </c>
      <c r="J622" s="2" t="str">
        <f>HYPERLINK("https://docs.wto.org/imrd/directdoc.asp?DDFDocuments/t/G/TBTN14/QAT340.DOC")</f>
        <v>https://docs.wto.org/imrd/directdoc.asp?DDFDocuments/t/G/TBTN14/QAT340.DOC</v>
      </c>
      <c r="K622" s="2" t="str">
        <f>HYPERLINK("https://docs.wto.org/imrd/directdoc.asp?DDFDocuments/u/G/TBTN14/QAT340.DOC")</f>
        <v>https://docs.wto.org/imrd/directdoc.asp?DDFDocuments/u/G/TBTN14/QAT340.DOC</v>
      </c>
      <c r="L622" s="2" t="str">
        <f>HYPERLINK("https://docs.wto.org/imrd/directdoc.asp?DDFDocuments/v/G/TBTN14/QAT340.DOC")</f>
        <v>https://docs.wto.org/imrd/directdoc.asp?DDFDocuments/v/G/TBTN14/QAT340.DOC</v>
      </c>
      <c r="M622" s="2" t="str">
        <f>HYPERLINK("http://www.epingalert.org/#/details/G/TBT/N/QAT/340")</f>
        <v>http://www.epingalert.org/#/details/G/TBT/N/QAT/340</v>
      </c>
      <c r="N622" s="2"/>
      <c r="O622" s="2"/>
    </row>
    <row r="623" spans="1:15" ht="285" outlineLevel="1" x14ac:dyDescent="0.25">
      <c r="A623" s="2" t="s">
        <v>42</v>
      </c>
      <c r="B623" s="4" t="s">
        <v>1288</v>
      </c>
      <c r="C623" s="2" t="s">
        <v>1289</v>
      </c>
      <c r="D623" s="2" t="s">
        <v>1290</v>
      </c>
      <c r="E623" s="3">
        <v>41722</v>
      </c>
      <c r="F623" s="2" t="s">
        <v>1291</v>
      </c>
      <c r="G623" s="2"/>
      <c r="H623" s="2" t="s">
        <v>17</v>
      </c>
      <c r="I623" s="3">
        <v>41746</v>
      </c>
      <c r="J623" s="2" t="str">
        <f>HYPERLINK("https://docs.wto.org/imrd/directdoc.asp?DDFDocuments/t/G/TBTN14/BRA584.DOC")</f>
        <v>https://docs.wto.org/imrd/directdoc.asp?DDFDocuments/t/G/TBTN14/BRA584.DOC</v>
      </c>
      <c r="K623" s="2" t="str">
        <f>HYPERLINK("https://docs.wto.org/imrd/directdoc.asp?DDFDocuments/u/G/TBTN14/BRA584.DOC")</f>
        <v>https://docs.wto.org/imrd/directdoc.asp?DDFDocuments/u/G/TBTN14/BRA584.DOC</v>
      </c>
      <c r="L623" s="2" t="str">
        <f>HYPERLINK("https://docs.wto.org/imrd/directdoc.asp?DDFDocuments/v/G/TBTN14/BRA584.DOC")</f>
        <v>https://docs.wto.org/imrd/directdoc.asp?DDFDocuments/v/G/TBTN14/BRA584.DOC</v>
      </c>
      <c r="M623" s="2" t="str">
        <f>HYPERLINK("http://www.epingalert.org/#/details/G/TBT/N/BRA/584")</f>
        <v>http://www.epingalert.org/#/details/G/TBT/N/BRA/584</v>
      </c>
      <c r="N623" s="2"/>
      <c r="O623" s="2"/>
    </row>
    <row r="624" spans="1:15" ht="135" outlineLevel="1" x14ac:dyDescent="0.25">
      <c r="A624" s="2" t="s">
        <v>12</v>
      </c>
      <c r="B624" s="4" t="s">
        <v>1292</v>
      </c>
      <c r="C624" s="2" t="s">
        <v>1293</v>
      </c>
      <c r="D624" s="2" t="s">
        <v>1294</v>
      </c>
      <c r="E624" s="3">
        <v>41715</v>
      </c>
      <c r="F624" s="2" t="s">
        <v>86</v>
      </c>
      <c r="G624" s="2"/>
      <c r="H624" s="2" t="s">
        <v>17</v>
      </c>
      <c r="I624" s="3">
        <v>41775</v>
      </c>
      <c r="J624" s="2" t="str">
        <f>HYPERLINK("https://docs.wto.org/imrd/directdoc.asp?DDFDocuments/t/G/TBTN14/EU203.DOC")</f>
        <v>https://docs.wto.org/imrd/directdoc.asp?DDFDocuments/t/G/TBTN14/EU203.DOC</v>
      </c>
      <c r="K624" s="2" t="str">
        <f>HYPERLINK("https://docs.wto.org/imrd/directdoc.asp?DDFDocuments/u/G/TBTN14/EU203.DOC")</f>
        <v>https://docs.wto.org/imrd/directdoc.asp?DDFDocuments/u/G/TBTN14/EU203.DOC</v>
      </c>
      <c r="L624" s="2" t="str">
        <f>HYPERLINK("https://docs.wto.org/imrd/directdoc.asp?DDFDocuments/v/G/TBTN14/EU203.DOC")</f>
        <v>https://docs.wto.org/imrd/directdoc.asp?DDFDocuments/v/G/TBTN14/EU203.DOC</v>
      </c>
      <c r="M624" s="2" t="str">
        <f>HYPERLINK("http://www.epingalert.org/#/details/G/TBT/N/EU/203")</f>
        <v>http://www.epingalert.org/#/details/G/TBT/N/EU/203</v>
      </c>
      <c r="N624" s="2"/>
      <c r="O624" s="2"/>
    </row>
    <row r="625" spans="1:15" ht="120" outlineLevel="1" x14ac:dyDescent="0.25">
      <c r="A625" s="2" t="s">
        <v>12</v>
      </c>
      <c r="B625" s="4" t="s">
        <v>1295</v>
      </c>
      <c r="C625" s="2" t="s">
        <v>1296</v>
      </c>
      <c r="D625" s="2" t="s">
        <v>1297</v>
      </c>
      <c r="E625" s="3">
        <v>41715</v>
      </c>
      <c r="F625" s="2" t="s">
        <v>86</v>
      </c>
      <c r="G625" s="2"/>
      <c r="H625" s="2" t="s">
        <v>17</v>
      </c>
      <c r="I625" s="3">
        <v>41775</v>
      </c>
      <c r="J625" s="2" t="str">
        <f>HYPERLINK("https://docs.wto.org/imrd/directdoc.asp?DDFDocuments/t/G/TBTN14/EU202.DOC")</f>
        <v>https://docs.wto.org/imrd/directdoc.asp?DDFDocuments/t/G/TBTN14/EU202.DOC</v>
      </c>
      <c r="K625" s="2" t="str">
        <f>HYPERLINK("https://docs.wto.org/imrd/directdoc.asp?DDFDocuments/u/G/TBTN14/EU202.DOC")</f>
        <v>https://docs.wto.org/imrd/directdoc.asp?DDFDocuments/u/G/TBTN14/EU202.DOC</v>
      </c>
      <c r="L625" s="2" t="str">
        <f>HYPERLINK("https://docs.wto.org/imrd/directdoc.asp?DDFDocuments/v/G/TBTN14/EU202.DOC")</f>
        <v>https://docs.wto.org/imrd/directdoc.asp?DDFDocuments/v/G/TBTN14/EU202.DOC</v>
      </c>
      <c r="M625" s="2" t="str">
        <f>HYPERLINK("http://www.epingalert.org/#/details/G/TBT/N/EU/202")</f>
        <v>http://www.epingalert.org/#/details/G/TBT/N/EU/202</v>
      </c>
      <c r="N625" s="2"/>
      <c r="O625" s="2"/>
    </row>
    <row r="626" spans="1:15" ht="90" outlineLevel="1" x14ac:dyDescent="0.25">
      <c r="A626" s="2" t="s">
        <v>173</v>
      </c>
      <c r="B626" s="4" t="s">
        <v>1298</v>
      </c>
      <c r="C626" s="2" t="s">
        <v>1299</v>
      </c>
      <c r="D626" s="2" t="s">
        <v>866</v>
      </c>
      <c r="E626" s="3">
        <v>41715</v>
      </c>
      <c r="F626" s="2" t="s">
        <v>1300</v>
      </c>
      <c r="G626" s="2"/>
      <c r="H626" s="2" t="s">
        <v>988</v>
      </c>
      <c r="I626" s="3">
        <v>41775</v>
      </c>
      <c r="J626" s="2" t="str">
        <f>HYPERLINK("https://docs.wto.org/imrd/directdoc.asp?DDFDocuments/t/G/TBTN14/SAU733.DOC")</f>
        <v>https://docs.wto.org/imrd/directdoc.asp?DDFDocuments/t/G/TBTN14/SAU733.DOC</v>
      </c>
      <c r="K626" s="2" t="str">
        <f>HYPERLINK("https://docs.wto.org/imrd/directdoc.asp?DDFDocuments/u/G/TBTN14/SAU733.DOC")</f>
        <v>https://docs.wto.org/imrd/directdoc.asp?DDFDocuments/u/G/TBTN14/SAU733.DOC</v>
      </c>
      <c r="L626" s="2" t="str">
        <f>HYPERLINK("https://docs.wto.org/imrd/directdoc.asp?DDFDocuments/v/G/TBTN14/SAU733.DOC")</f>
        <v>https://docs.wto.org/imrd/directdoc.asp?DDFDocuments/v/G/TBTN14/SAU733.DOC</v>
      </c>
      <c r="M626" s="2" t="str">
        <f>HYPERLINK("http://www.epingalert.org/#/details/G/TBT/N/SAU/733")</f>
        <v>http://www.epingalert.org/#/details/G/TBT/N/SAU/733</v>
      </c>
      <c r="N626" s="2"/>
      <c r="O626" s="2"/>
    </row>
    <row r="627" spans="1:15" ht="105" outlineLevel="1" x14ac:dyDescent="0.25">
      <c r="A627" s="2" t="s">
        <v>37</v>
      </c>
      <c r="B627" s="4" t="s">
        <v>2361</v>
      </c>
      <c r="C627" s="2" t="s">
        <v>2362</v>
      </c>
      <c r="D627" s="2" t="s">
        <v>2363</v>
      </c>
      <c r="E627" s="3">
        <v>41715</v>
      </c>
      <c r="F627" s="2" t="s">
        <v>2364</v>
      </c>
      <c r="G627" s="2" t="s">
        <v>2166</v>
      </c>
      <c r="H627" s="2" t="s">
        <v>17</v>
      </c>
      <c r="I627" s="3">
        <v>41775</v>
      </c>
      <c r="J627" s="2" t="str">
        <f>HYPERLINK("https://docs.wto.org/imrd/directdoc.asp?DDFDocuments/t/G/TBTN14/TUR56.DOC")</f>
        <v>https://docs.wto.org/imrd/directdoc.asp?DDFDocuments/t/G/TBTN14/TUR56.DOC</v>
      </c>
      <c r="K627" s="2" t="str">
        <f>HYPERLINK("https://docs.wto.org/imrd/directdoc.asp?DDFDocuments/u/G/TBTN14/TUR56.DOC")</f>
        <v>https://docs.wto.org/imrd/directdoc.asp?DDFDocuments/u/G/TBTN14/TUR56.DOC</v>
      </c>
      <c r="L627" s="2" t="str">
        <f>HYPERLINK("https://docs.wto.org/imrd/directdoc.asp?DDFDocuments/v/G/TBTN14/TUR56.DOC")</f>
        <v>https://docs.wto.org/imrd/directdoc.asp?DDFDocuments/v/G/TBTN14/TUR56.DOC</v>
      </c>
      <c r="M627" s="2" t="str">
        <f>HYPERLINK("http://www.epingalert.org/#/details/G/TBT/N/TUR/56")</f>
        <v>http://www.epingalert.org/#/details/G/TBT/N/TUR/56</v>
      </c>
      <c r="N627" s="2"/>
      <c r="O627" s="2"/>
    </row>
    <row r="628" spans="1:15" ht="45" outlineLevel="1" x14ac:dyDescent="0.25">
      <c r="A628" s="2" t="s">
        <v>184</v>
      </c>
      <c r="B628" s="4" t="s">
        <v>1305</v>
      </c>
      <c r="C628" s="2" t="s">
        <v>1306</v>
      </c>
      <c r="D628" s="2" t="s">
        <v>1307</v>
      </c>
      <c r="E628" s="3">
        <v>41712</v>
      </c>
      <c r="F628" s="2" t="s">
        <v>1308</v>
      </c>
      <c r="G628" s="2"/>
      <c r="H628" s="2" t="s">
        <v>17</v>
      </c>
      <c r="I628" s="3">
        <v>41772</v>
      </c>
      <c r="J628" s="2" t="str">
        <f>HYPERLINK("null")</f>
        <v>null</v>
      </c>
      <c r="K628" s="2" t="str">
        <f>HYPERLINK("null")</f>
        <v>null</v>
      </c>
      <c r="L628" s="2" t="str">
        <f>HYPERLINK("null")</f>
        <v>null</v>
      </c>
      <c r="M628" s="2" t="str">
        <f>HYPERLINK("http://www.epingalert.org/#/details/G/TBT/N/ARE/205")</f>
        <v>http://www.epingalert.org/#/details/G/TBT/N/ARE/205</v>
      </c>
      <c r="N628" s="2"/>
      <c r="O628" s="2"/>
    </row>
    <row r="629" spans="1:15" ht="90" outlineLevel="1" x14ac:dyDescent="0.25">
      <c r="A629" s="2" t="s">
        <v>173</v>
      </c>
      <c r="B629" s="4" t="s">
        <v>1309</v>
      </c>
      <c r="C629" s="2" t="s">
        <v>1310</v>
      </c>
      <c r="D629" s="2" t="s">
        <v>1311</v>
      </c>
      <c r="E629" s="3">
        <v>41712</v>
      </c>
      <c r="F629" s="2" t="s">
        <v>1312</v>
      </c>
      <c r="G629" s="2"/>
      <c r="H629" s="2" t="s">
        <v>17</v>
      </c>
      <c r="I629" s="3">
        <v>41772</v>
      </c>
      <c r="J629" s="2" t="str">
        <f>HYPERLINK("https://docs.wto.org/imrd/directdoc.asp?DDFDocuments/t/G/TBTN14/SAU732.DOC")</f>
        <v>https://docs.wto.org/imrd/directdoc.asp?DDFDocuments/t/G/TBTN14/SAU732.DOC</v>
      </c>
      <c r="K629" s="2" t="str">
        <f>HYPERLINK("https://docs.wto.org/imrd/directdoc.asp?DDFDocuments/u/G/TBTN14/SAU732.DOC")</f>
        <v>https://docs.wto.org/imrd/directdoc.asp?DDFDocuments/u/G/TBTN14/SAU732.DOC</v>
      </c>
      <c r="L629" s="2" t="str">
        <f>HYPERLINK("https://docs.wto.org/imrd/directdoc.asp?DDFDocuments/v/G/TBTN14/SAU732.DOC")</f>
        <v>https://docs.wto.org/imrd/directdoc.asp?DDFDocuments/v/G/TBTN14/SAU732.DOC</v>
      </c>
      <c r="M629" s="2" t="str">
        <f>HYPERLINK("http://www.epingalert.org/#/details/G/TBT/N/SAU/732")</f>
        <v>http://www.epingalert.org/#/details/G/TBT/N/SAU/732</v>
      </c>
      <c r="N629" s="2"/>
      <c r="O629" s="2"/>
    </row>
    <row r="630" spans="1:15" ht="90" outlineLevel="1" x14ac:dyDescent="0.25">
      <c r="A630" s="2" t="s">
        <v>178</v>
      </c>
      <c r="B630" s="4" t="s">
        <v>1834</v>
      </c>
      <c r="C630" s="2" t="s">
        <v>1835</v>
      </c>
      <c r="D630" s="2" t="s">
        <v>1836</v>
      </c>
      <c r="E630" s="3">
        <v>41712</v>
      </c>
      <c r="F630" s="2" t="s">
        <v>1837</v>
      </c>
      <c r="G630" s="2"/>
      <c r="H630" s="2"/>
      <c r="I630" s="3">
        <v>41772</v>
      </c>
      <c r="J630" s="2" t="str">
        <f>HYPERLINK("https://docs.wto.org/imrd/directdoc.asp?DDFDocuments/t/G/TBTN14/QAT332.DOC")</f>
        <v>https://docs.wto.org/imrd/directdoc.asp?DDFDocuments/t/G/TBTN14/QAT332.DOC</v>
      </c>
      <c r="K630" s="2" t="str">
        <f>HYPERLINK("https://docs.wto.org/imrd/directdoc.asp?DDFDocuments/u/G/TBTN14/QAT332.DOC")</f>
        <v>https://docs.wto.org/imrd/directdoc.asp?DDFDocuments/u/G/TBTN14/QAT332.DOC</v>
      </c>
      <c r="L630" s="2" t="str">
        <f>HYPERLINK("https://docs.wto.org/imrd/directdoc.asp?DDFDocuments/v/G/TBTN14/QAT332.DOC")</f>
        <v>https://docs.wto.org/imrd/directdoc.asp?DDFDocuments/v/G/TBTN14/QAT332.DOC</v>
      </c>
      <c r="M630" s="2" t="str">
        <f>HYPERLINK("http://www.epingalert.org/#/details/G/TBT/N/QAT/332")</f>
        <v>http://www.epingalert.org/#/details/G/TBT/N/QAT/332</v>
      </c>
      <c r="N630" s="2"/>
      <c r="O630" s="2"/>
    </row>
    <row r="631" spans="1:15" ht="75" outlineLevel="1" x14ac:dyDescent="0.25">
      <c r="A631" s="2" t="s">
        <v>37</v>
      </c>
      <c r="B631" s="4" t="s">
        <v>1301</v>
      </c>
      <c r="C631" s="2" t="s">
        <v>1302</v>
      </c>
      <c r="D631" s="2" t="s">
        <v>1303</v>
      </c>
      <c r="E631" s="3">
        <v>41712</v>
      </c>
      <c r="F631" s="2" t="s">
        <v>1304</v>
      </c>
      <c r="G631" s="2"/>
      <c r="H631" s="2" t="s">
        <v>17</v>
      </c>
      <c r="I631" s="3">
        <v>41754</v>
      </c>
      <c r="J631" s="2" t="str">
        <f>HYPERLINK("https://docs.wto.org/imrd/directdoc.asp?DDFDocuments/t/G/TBTN14/TUR49.DOC")</f>
        <v>https://docs.wto.org/imrd/directdoc.asp?DDFDocuments/t/G/TBTN14/TUR49.DOC</v>
      </c>
      <c r="K631" s="2" t="str">
        <f>HYPERLINK("https://docs.wto.org/imrd/directdoc.asp?DDFDocuments/u/G/TBTN14/TUR49.DOC")</f>
        <v>https://docs.wto.org/imrd/directdoc.asp?DDFDocuments/u/G/TBTN14/TUR49.DOC</v>
      </c>
      <c r="L631" s="2" t="str">
        <f>HYPERLINK("https://docs.wto.org/imrd/directdoc.asp?DDFDocuments/v/G/TBTN14/TUR49.DOC")</f>
        <v>https://docs.wto.org/imrd/directdoc.asp?DDFDocuments/v/G/TBTN14/TUR49.DOC</v>
      </c>
      <c r="M631" s="2" t="str">
        <f>HYPERLINK("http://www.epingalert.org/#/details/G/TBT/N/TUR/49")</f>
        <v>http://www.epingalert.org/#/details/G/TBT/N/TUR/49</v>
      </c>
      <c r="N631" s="2"/>
      <c r="O631" s="2"/>
    </row>
    <row r="632" spans="1:15" ht="150" outlineLevel="1" x14ac:dyDescent="0.25">
      <c r="A632" s="2" t="s">
        <v>37</v>
      </c>
      <c r="B632" s="4" t="s">
        <v>1608</v>
      </c>
      <c r="C632" s="2" t="s">
        <v>1609</v>
      </c>
      <c r="D632" s="2" t="s">
        <v>1610</v>
      </c>
      <c r="E632" s="3">
        <v>41712</v>
      </c>
      <c r="F632" s="2" t="s">
        <v>1611</v>
      </c>
      <c r="G632" s="2"/>
      <c r="H632" s="2"/>
      <c r="I632" s="3">
        <v>41754</v>
      </c>
      <c r="J632" s="2" t="str">
        <f>HYPERLINK("https://docs.wto.org/imrd/directdoc.asp?DDFDocuments/t/G/TBTN14/TUR47.DOC")</f>
        <v>https://docs.wto.org/imrd/directdoc.asp?DDFDocuments/t/G/TBTN14/TUR47.DOC</v>
      </c>
      <c r="K632" s="2" t="str">
        <f>HYPERLINK("https://docs.wto.org/imrd/directdoc.asp?DDFDocuments/u/G/TBTN14/TUR47.DOC")</f>
        <v>https://docs.wto.org/imrd/directdoc.asp?DDFDocuments/u/G/TBTN14/TUR47.DOC</v>
      </c>
      <c r="L632" s="2" t="str">
        <f>HYPERLINK("https://docs.wto.org/imrd/directdoc.asp?DDFDocuments/v/G/TBTN14/TUR47.DOC")</f>
        <v>https://docs.wto.org/imrd/directdoc.asp?DDFDocuments/v/G/TBTN14/TUR47.DOC</v>
      </c>
      <c r="M632" s="2" t="str">
        <f>HYPERLINK("http://www.epingalert.org/#/details/G/TBT/N/TUR/47")</f>
        <v>http://www.epingalert.org/#/details/G/TBT/N/TUR/47</v>
      </c>
      <c r="N632" s="2"/>
      <c r="O632" s="2"/>
    </row>
    <row r="633" spans="1:15" ht="375" outlineLevel="1" x14ac:dyDescent="0.25">
      <c r="A633" s="2" t="s">
        <v>12</v>
      </c>
      <c r="B633" s="4" t="s">
        <v>1313</v>
      </c>
      <c r="C633" s="2" t="s">
        <v>1314</v>
      </c>
      <c r="D633" s="2" t="s">
        <v>1315</v>
      </c>
      <c r="E633" s="3">
        <v>41710</v>
      </c>
      <c r="F633" s="8" t="s">
        <v>1316</v>
      </c>
      <c r="G633" s="2"/>
      <c r="H633" s="2" t="s">
        <v>413</v>
      </c>
      <c r="I633" s="3">
        <v>41770</v>
      </c>
      <c r="J633" s="2" t="str">
        <f>HYPERLINK("https://docs.wto.org/imrd/directdoc.asp?DDFDocuments/t/G/TBTN14/EU198.DOC")</f>
        <v>https://docs.wto.org/imrd/directdoc.asp?DDFDocuments/t/G/TBTN14/EU198.DOC</v>
      </c>
      <c r="K633" s="2" t="str">
        <f>HYPERLINK("https://docs.wto.org/imrd/directdoc.asp?DDFDocuments/u/G/TBTN14/EU198.DOC")</f>
        <v>https://docs.wto.org/imrd/directdoc.asp?DDFDocuments/u/G/TBTN14/EU198.DOC</v>
      </c>
      <c r="L633" s="2" t="str">
        <f>HYPERLINK("https://docs.wto.org/imrd/directdoc.asp?DDFDocuments/v/G/TBTN14/EU198.DOC")</f>
        <v>https://docs.wto.org/imrd/directdoc.asp?DDFDocuments/v/G/TBTN14/EU198.DOC</v>
      </c>
      <c r="M633" s="2" t="str">
        <f>HYPERLINK("http://www.epingalert.org/#/details/G/TBT/N/EU/198")</f>
        <v>http://www.epingalert.org/#/details/G/TBT/N/EU/198</v>
      </c>
      <c r="N633" s="2"/>
      <c r="O633" s="2"/>
    </row>
    <row r="634" spans="1:15" ht="90" outlineLevel="1" x14ac:dyDescent="0.25">
      <c r="A634" s="2" t="s">
        <v>184</v>
      </c>
      <c r="B634" s="4" t="s">
        <v>1317</v>
      </c>
      <c r="C634" s="2" t="s">
        <v>1318</v>
      </c>
      <c r="D634" s="2" t="s">
        <v>1319</v>
      </c>
      <c r="E634" s="3">
        <v>41710</v>
      </c>
      <c r="F634" s="2" t="s">
        <v>1320</v>
      </c>
      <c r="G634" s="2"/>
      <c r="H634" s="2" t="s">
        <v>17</v>
      </c>
      <c r="I634" s="3">
        <v>41770</v>
      </c>
      <c r="J634" s="2" t="str">
        <f>HYPERLINK("https://docs.wto.org/imrd/directdoc.asp?DDFDocuments/t/G/TBTN14/ARE204.DOC")</f>
        <v>https://docs.wto.org/imrd/directdoc.asp?DDFDocuments/t/G/TBTN14/ARE204.DOC</v>
      </c>
      <c r="K634" s="2" t="str">
        <f>HYPERLINK("https://docs.wto.org/imrd/directdoc.asp?DDFDocuments/u/G/TBTN14/ARE204.DOC")</f>
        <v>https://docs.wto.org/imrd/directdoc.asp?DDFDocuments/u/G/TBTN14/ARE204.DOC</v>
      </c>
      <c r="L634" s="2" t="str">
        <f>HYPERLINK("https://docs.wto.org/imrd/directdoc.asp?DDFDocuments/v/G/TBTN14/ARE204.DOC")</f>
        <v>https://docs.wto.org/imrd/directdoc.asp?DDFDocuments/v/G/TBTN14/ARE204.DOC</v>
      </c>
      <c r="M634" s="2" t="str">
        <f>HYPERLINK("http://www.epingalert.org/#/details/G/TBT/N/ARE/204")</f>
        <v>http://www.epingalert.org/#/details/G/TBT/N/ARE/204</v>
      </c>
      <c r="N634" s="2"/>
      <c r="O634" s="2"/>
    </row>
    <row r="635" spans="1:15" ht="90" outlineLevel="1" x14ac:dyDescent="0.25">
      <c r="A635" s="2" t="s">
        <v>184</v>
      </c>
      <c r="B635" s="4" t="s">
        <v>1321</v>
      </c>
      <c r="C635" s="2" t="s">
        <v>1322</v>
      </c>
      <c r="D635" s="2" t="s">
        <v>1323</v>
      </c>
      <c r="E635" s="3">
        <v>41710</v>
      </c>
      <c r="F635" s="2" t="s">
        <v>1324</v>
      </c>
      <c r="G635" s="2"/>
      <c r="H635" s="2" t="s">
        <v>17</v>
      </c>
      <c r="I635" s="3">
        <v>41770</v>
      </c>
      <c r="J635" s="2" t="str">
        <f>HYPERLINK("https://docs.wto.org/imrd/directdoc.asp?DDFDocuments/t/G/TBTN14/ARE203.DOC")</f>
        <v>https://docs.wto.org/imrd/directdoc.asp?DDFDocuments/t/G/TBTN14/ARE203.DOC</v>
      </c>
      <c r="K635" s="2" t="str">
        <f>HYPERLINK("https://docs.wto.org/imrd/directdoc.asp?DDFDocuments/u/G/TBTN14/ARE203.DOC")</f>
        <v>https://docs.wto.org/imrd/directdoc.asp?DDFDocuments/u/G/TBTN14/ARE203.DOC</v>
      </c>
      <c r="L635" s="2" t="str">
        <f>HYPERLINK("https://docs.wto.org/imrd/directdoc.asp?DDFDocuments/v/G/TBTN14/ARE203.DOC")</f>
        <v>https://docs.wto.org/imrd/directdoc.asp?DDFDocuments/v/G/TBTN14/ARE203.DOC</v>
      </c>
      <c r="M635" s="2" t="str">
        <f>HYPERLINK("http://www.epingalert.org/#/details/G/TBT/N/ARE/203")</f>
        <v>http://www.epingalert.org/#/details/G/TBT/N/ARE/203</v>
      </c>
      <c r="N635" s="2"/>
      <c r="O635" s="2"/>
    </row>
    <row r="636" spans="1:15" ht="60" outlineLevel="1" x14ac:dyDescent="0.25">
      <c r="A636" s="2" t="s">
        <v>184</v>
      </c>
      <c r="B636" s="4" t="s">
        <v>1325</v>
      </c>
      <c r="C636" s="2" t="s">
        <v>1326</v>
      </c>
      <c r="D636" s="2" t="s">
        <v>1327</v>
      </c>
      <c r="E636" s="3">
        <v>41710</v>
      </c>
      <c r="F636" s="2" t="s">
        <v>1328</v>
      </c>
      <c r="G636" s="2"/>
      <c r="H636" s="2" t="s">
        <v>17</v>
      </c>
      <c r="I636" s="3">
        <v>41770</v>
      </c>
      <c r="J636" s="2" t="str">
        <f>HYPERLINK("https://docs.wto.org/imrd/directdoc.asp?DDFDocuments/t/G/TBTN14/ARE202.DOC")</f>
        <v>https://docs.wto.org/imrd/directdoc.asp?DDFDocuments/t/G/TBTN14/ARE202.DOC</v>
      </c>
      <c r="K636" s="2" t="str">
        <f>HYPERLINK("https://docs.wto.org/imrd/directdoc.asp?DDFDocuments/u/G/TBTN14/ARE202.DOC")</f>
        <v>https://docs.wto.org/imrd/directdoc.asp?DDFDocuments/u/G/TBTN14/ARE202.DOC</v>
      </c>
      <c r="L636" s="2" t="str">
        <f>HYPERLINK("https://docs.wto.org/imrd/directdoc.asp?DDFDocuments/v/G/TBTN14/ARE202.DOC")</f>
        <v>https://docs.wto.org/imrd/directdoc.asp?DDFDocuments/v/G/TBTN14/ARE202.DOC</v>
      </c>
      <c r="M636" s="2" t="str">
        <f>HYPERLINK("http://www.epingalert.org/#/details/G/TBT/N/ARE/202")</f>
        <v>http://www.epingalert.org/#/details/G/TBT/N/ARE/202</v>
      </c>
      <c r="N636" s="2"/>
      <c r="O636" s="2"/>
    </row>
    <row r="637" spans="1:15" ht="60" outlineLevel="1" x14ac:dyDescent="0.25">
      <c r="A637" s="2" t="s">
        <v>178</v>
      </c>
      <c r="B637" s="4" t="s">
        <v>1329</v>
      </c>
      <c r="C637" s="2" t="s">
        <v>1330</v>
      </c>
      <c r="D637" s="2" t="s">
        <v>1331</v>
      </c>
      <c r="E637" s="3">
        <v>41710</v>
      </c>
      <c r="F637" s="2" t="s">
        <v>1332</v>
      </c>
      <c r="G637" s="2"/>
      <c r="H637" s="2" t="s">
        <v>1006</v>
      </c>
      <c r="I637" s="3">
        <v>41770</v>
      </c>
      <c r="J637" s="2" t="str">
        <f>HYPERLINK("https://docs.wto.org/imrd/directdoc.asp?DDFDocuments/t/G/TBTN14/QAT323.DOC")</f>
        <v>https://docs.wto.org/imrd/directdoc.asp?DDFDocuments/t/G/TBTN14/QAT323.DOC</v>
      </c>
      <c r="K637" s="2" t="str">
        <f>HYPERLINK("https://docs.wto.org/imrd/directdoc.asp?DDFDocuments/u/G/TBTN14/QAT323.DOC")</f>
        <v>https://docs.wto.org/imrd/directdoc.asp?DDFDocuments/u/G/TBTN14/QAT323.DOC</v>
      </c>
      <c r="L637" s="2" t="str">
        <f>HYPERLINK("https://docs.wto.org/imrd/directdoc.asp?DDFDocuments/v/G/TBTN14/QAT323.DOC")</f>
        <v>https://docs.wto.org/imrd/directdoc.asp?DDFDocuments/v/G/TBTN14/QAT323.DOC</v>
      </c>
      <c r="M637" s="2" t="str">
        <f>HYPERLINK("http://www.epingalert.org/#/details/G/TBT/N/QAT/323")</f>
        <v>http://www.epingalert.org/#/details/G/TBT/N/QAT/323</v>
      </c>
      <c r="N637" s="2"/>
      <c r="O637" s="2"/>
    </row>
    <row r="638" spans="1:15" ht="345" outlineLevel="1" x14ac:dyDescent="0.25">
      <c r="A638" s="2" t="s">
        <v>18</v>
      </c>
      <c r="B638" s="4" t="s">
        <v>1333</v>
      </c>
      <c r="C638" s="2" t="s">
        <v>1334</v>
      </c>
      <c r="D638" s="2" t="s">
        <v>1335</v>
      </c>
      <c r="E638" s="3">
        <v>41708</v>
      </c>
      <c r="F638" s="8" t="s">
        <v>1336</v>
      </c>
      <c r="G638" s="2" t="s">
        <v>370</v>
      </c>
      <c r="H638" s="2" t="s">
        <v>30</v>
      </c>
      <c r="I638" s="3">
        <v>41792</v>
      </c>
      <c r="J638" s="2" t="str">
        <f>HYPERLINK("https://docs.wto.org/imrd/directdoc.asp?DDFDocuments/t/G/TBTN14/USA894.DOC")</f>
        <v>https://docs.wto.org/imrd/directdoc.asp?DDFDocuments/t/G/TBTN14/USA894.DOC</v>
      </c>
      <c r="K638" s="2" t="str">
        <f>HYPERLINK("https://docs.wto.org/imrd/directdoc.asp?DDFDocuments/u/G/TBTN14/USA894.DOC")</f>
        <v>https://docs.wto.org/imrd/directdoc.asp?DDFDocuments/u/G/TBTN14/USA894.DOC</v>
      </c>
      <c r="L638" s="2" t="str">
        <f>HYPERLINK("https://docs.wto.org/imrd/directdoc.asp?DDFDocuments/v/G/TBTN14/USA894.DOC")</f>
        <v>https://docs.wto.org/imrd/directdoc.asp?DDFDocuments/v/G/TBTN14/USA894.DOC</v>
      </c>
      <c r="M638" s="2" t="str">
        <f>HYPERLINK("http://www.epingalert.org/#/details/G/TBT/N/USA/894")</f>
        <v>http://www.epingalert.org/#/details/G/TBT/N/USA/894</v>
      </c>
      <c r="N638" s="2"/>
      <c r="O638" s="2"/>
    </row>
    <row r="639" spans="1:15" ht="390" outlineLevel="1" x14ac:dyDescent="0.25">
      <c r="A639" s="2" t="s">
        <v>18</v>
      </c>
      <c r="B639" s="4" t="s">
        <v>1337</v>
      </c>
      <c r="C639" s="2" t="s">
        <v>1338</v>
      </c>
      <c r="D639" s="2" t="s">
        <v>1339</v>
      </c>
      <c r="E639" s="3">
        <v>41708</v>
      </c>
      <c r="F639" s="8" t="s">
        <v>1340</v>
      </c>
      <c r="G639" s="2" t="s">
        <v>370</v>
      </c>
      <c r="H639" s="2" t="s">
        <v>30</v>
      </c>
      <c r="I639" s="3">
        <v>41792</v>
      </c>
      <c r="J639" s="2" t="str">
        <f>HYPERLINK("https://docs.wto.org/imrd/directdoc.asp?DDFDocuments/t/G/TBTN14/USA893.DOC")</f>
        <v>https://docs.wto.org/imrd/directdoc.asp?DDFDocuments/t/G/TBTN14/USA893.DOC</v>
      </c>
      <c r="K639" s="2" t="str">
        <f>HYPERLINK("https://docs.wto.org/imrd/directdoc.asp?DDFDocuments/u/G/TBTN14/USA893.DOC")</f>
        <v>https://docs.wto.org/imrd/directdoc.asp?DDFDocuments/u/G/TBTN14/USA893.DOC</v>
      </c>
      <c r="L639" s="2" t="str">
        <f>HYPERLINK("https://docs.wto.org/imrd/directdoc.asp?DDFDocuments/v/G/TBTN14/USA893.DOC")</f>
        <v>https://docs.wto.org/imrd/directdoc.asp?DDFDocuments/v/G/TBTN14/USA893.DOC</v>
      </c>
      <c r="M639" s="2" t="str">
        <f>HYPERLINK("http://www.epingalert.org/#/details/G/TBT/N/USA/893")</f>
        <v>http://www.epingalert.org/#/details/G/TBT/N/USA/893</v>
      </c>
      <c r="N639" s="2"/>
      <c r="O639" s="2"/>
    </row>
    <row r="640" spans="1:15" ht="105" outlineLevel="1" x14ac:dyDescent="0.25">
      <c r="A640" s="2" t="s">
        <v>77</v>
      </c>
      <c r="B640" s="4" t="s">
        <v>1341</v>
      </c>
      <c r="C640" s="2" t="s">
        <v>1342</v>
      </c>
      <c r="D640" s="2" t="s">
        <v>1343</v>
      </c>
      <c r="E640" s="3">
        <v>41708</v>
      </c>
      <c r="F640" s="2" t="s">
        <v>1344</v>
      </c>
      <c r="G640" s="2"/>
      <c r="H640" s="2" t="s">
        <v>82</v>
      </c>
      <c r="I640" s="3">
        <v>41743</v>
      </c>
      <c r="J640" s="2" t="str">
        <f>HYPERLINK("https://docs.wto.org/imrd/directdoc.asp?DDFDocuments/t/G/TBTN14/TPKM155.DOC")</f>
        <v>https://docs.wto.org/imrd/directdoc.asp?DDFDocuments/t/G/TBTN14/TPKM155.DOC</v>
      </c>
      <c r="K640" s="2" t="str">
        <f>HYPERLINK("https://docs.wto.org/imrd/directdoc.asp?DDFDocuments/u/G/TBTN14/TPKM155.DOC")</f>
        <v>https://docs.wto.org/imrd/directdoc.asp?DDFDocuments/u/G/TBTN14/TPKM155.DOC</v>
      </c>
      <c r="L640" s="2" t="str">
        <f>HYPERLINK("https://docs.wto.org/imrd/directdoc.asp?DDFDocuments/v/G/TBTN14/TPKM155.DOC")</f>
        <v>https://docs.wto.org/imrd/directdoc.asp?DDFDocuments/v/G/TBTN14/TPKM155.DOC</v>
      </c>
      <c r="M640" s="2" t="str">
        <f>HYPERLINK("http://www.epingalert.org/#/details/G/TBT/N/TPKM/155")</f>
        <v>http://www.epingalert.org/#/details/G/TBT/N/TPKM/155</v>
      </c>
      <c r="N640" s="2"/>
      <c r="O640" s="2"/>
    </row>
    <row r="641" spans="1:15" ht="75" outlineLevel="1" x14ac:dyDescent="0.25">
      <c r="A641" s="2" t="s">
        <v>184</v>
      </c>
      <c r="B641" s="4" t="s">
        <v>1345</v>
      </c>
      <c r="C641" s="2" t="s">
        <v>1346</v>
      </c>
      <c r="D641" s="2" t="s">
        <v>1347</v>
      </c>
      <c r="E641" s="3">
        <v>41705</v>
      </c>
      <c r="F641" s="2" t="s">
        <v>1348</v>
      </c>
      <c r="G641" s="2"/>
      <c r="H641" s="2" t="s">
        <v>988</v>
      </c>
      <c r="I641" s="3">
        <v>41765</v>
      </c>
      <c r="J641" s="2" t="str">
        <f>HYPERLINK("https://docs.wto.org/imrd/directdoc.asp?DDFDocuments/t/G/TBTN14/ARE201.DOC")</f>
        <v>https://docs.wto.org/imrd/directdoc.asp?DDFDocuments/t/G/TBTN14/ARE201.DOC</v>
      </c>
      <c r="K641" s="2" t="str">
        <f>HYPERLINK("https://docs.wto.org/imrd/directdoc.asp?DDFDocuments/u/G/TBTN14/ARE201.DOC")</f>
        <v>https://docs.wto.org/imrd/directdoc.asp?DDFDocuments/u/G/TBTN14/ARE201.DOC</v>
      </c>
      <c r="L641" s="2" t="str">
        <f>HYPERLINK("https://docs.wto.org/imrd/directdoc.asp?DDFDocuments/v/G/TBTN14/ARE201.DOC")</f>
        <v>https://docs.wto.org/imrd/directdoc.asp?DDFDocuments/v/G/TBTN14/ARE201.DOC</v>
      </c>
      <c r="M641" s="2" t="str">
        <f>HYPERLINK("http://www.epingalert.org/#/details/G/TBT/N/ARE/201")</f>
        <v>http://www.epingalert.org/#/details/G/TBT/N/ARE/201</v>
      </c>
      <c r="N641" s="2"/>
      <c r="O641" s="2"/>
    </row>
    <row r="642" spans="1:15" ht="409.5" outlineLevel="1" x14ac:dyDescent="0.25">
      <c r="A642" s="2" t="s">
        <v>181</v>
      </c>
      <c r="B642" s="4" t="s">
        <v>1838</v>
      </c>
      <c r="C642" s="2" t="s">
        <v>1839</v>
      </c>
      <c r="D642" s="2" t="s">
        <v>1840</v>
      </c>
      <c r="E642" s="3">
        <v>41705</v>
      </c>
      <c r="F642" s="2" t="s">
        <v>1841</v>
      </c>
      <c r="G642" s="2"/>
      <c r="H642" s="2" t="s">
        <v>17</v>
      </c>
      <c r="I642" s="3">
        <v>41765</v>
      </c>
      <c r="J642" s="2" t="str">
        <f>HYPERLINK("https://docs.wto.org/imrd/directdoc.asp?DDFDocuments/t/G/TBTN14/BHR329.DOC")</f>
        <v>https://docs.wto.org/imrd/directdoc.asp?DDFDocuments/t/G/TBTN14/BHR329.DOC</v>
      </c>
      <c r="K642" s="2" t="str">
        <f>HYPERLINK("https://docs.wto.org/imrd/directdoc.asp?DDFDocuments/u/G/TBTN14/BHR329.DOC")</f>
        <v>https://docs.wto.org/imrd/directdoc.asp?DDFDocuments/u/G/TBTN14/BHR329.DOC</v>
      </c>
      <c r="L642" s="2" t="str">
        <f>HYPERLINK("https://docs.wto.org/imrd/directdoc.asp?DDFDocuments/v/G/TBTN14/BHR329.DOC")</f>
        <v>https://docs.wto.org/imrd/directdoc.asp?DDFDocuments/v/G/TBTN14/BHR329.DOC</v>
      </c>
      <c r="M642" s="2" t="str">
        <f>HYPERLINK("http://www.epingalert.org/#/details/G/TBT/N/BHR/329")</f>
        <v>http://www.epingalert.org/#/details/G/TBT/N/BHR/329</v>
      </c>
      <c r="N642" s="2"/>
      <c r="O642" s="2"/>
    </row>
    <row r="643" spans="1:15" ht="90" outlineLevel="1" x14ac:dyDescent="0.25">
      <c r="A643" s="2" t="s">
        <v>98</v>
      </c>
      <c r="B643" s="4" t="s">
        <v>1349</v>
      </c>
      <c r="C643" s="2" t="s">
        <v>1350</v>
      </c>
      <c r="D643" s="2" t="s">
        <v>1351</v>
      </c>
      <c r="E643" s="3">
        <v>41705</v>
      </c>
      <c r="F643" s="2"/>
      <c r="G643" s="2" t="s">
        <v>1352</v>
      </c>
      <c r="H643" s="2" t="s">
        <v>17</v>
      </c>
      <c r="I643" s="3">
        <v>41764</v>
      </c>
      <c r="J643" s="2" t="str">
        <f>HYPERLINK("https://docs.wto.org/imrd/directdoc.asp?DDFDocuments/t/G/TBTN14/ZAF175.DOC")</f>
        <v>https://docs.wto.org/imrd/directdoc.asp?DDFDocuments/t/G/TBTN14/ZAF175.DOC</v>
      </c>
      <c r="K643" s="2" t="str">
        <f>HYPERLINK("https://docs.wto.org/imrd/directdoc.asp?DDFDocuments/u/G/TBTN14/ZAF175.DOC")</f>
        <v>https://docs.wto.org/imrd/directdoc.asp?DDFDocuments/u/G/TBTN14/ZAF175.DOC</v>
      </c>
      <c r="L643" s="2" t="str">
        <f>HYPERLINK("https://docs.wto.org/imrd/directdoc.asp?DDFDocuments/v/G/TBTN14/ZAF175.DOC")</f>
        <v>https://docs.wto.org/imrd/directdoc.asp?DDFDocuments/v/G/TBTN14/ZAF175.DOC</v>
      </c>
      <c r="M643" s="2" t="str">
        <f>HYPERLINK("http://www.epingalert.org/#/details/G/TBT/N/ZAF/175")</f>
        <v>http://www.epingalert.org/#/details/G/TBT/N/ZAF/175</v>
      </c>
      <c r="N643" s="2"/>
      <c r="O643" s="2"/>
    </row>
    <row r="644" spans="1:15" ht="90" outlineLevel="1" x14ac:dyDescent="0.25">
      <c r="A644" s="2" t="s">
        <v>173</v>
      </c>
      <c r="B644" s="4" t="s">
        <v>1353</v>
      </c>
      <c r="C644" s="2" t="s">
        <v>1354</v>
      </c>
      <c r="D644" s="2" t="s">
        <v>1355</v>
      </c>
      <c r="E644" s="3">
        <v>41704</v>
      </c>
      <c r="F644" s="2" t="s">
        <v>1356</v>
      </c>
      <c r="G644" s="2" t="s">
        <v>246</v>
      </c>
      <c r="H644" s="2"/>
      <c r="I644" s="3">
        <v>41764</v>
      </c>
      <c r="J644" s="2" t="str">
        <f>HYPERLINK("https://docs.wto.org/imrd/directdoc.asp?DDFDocuments/t/G/TBTN14/SAU721.DOC")</f>
        <v>https://docs.wto.org/imrd/directdoc.asp?DDFDocuments/t/G/TBTN14/SAU721.DOC</v>
      </c>
      <c r="K644" s="2" t="str">
        <f>HYPERLINK("https://docs.wto.org/imrd/directdoc.asp?DDFDocuments/u/G/TBTN14/SAU721.DOC")</f>
        <v>https://docs.wto.org/imrd/directdoc.asp?DDFDocuments/u/G/TBTN14/SAU721.DOC</v>
      </c>
      <c r="L644" s="2" t="str">
        <f>HYPERLINK("https://docs.wto.org/imrd/directdoc.asp?DDFDocuments/v/G/TBTN14/SAU721.DOC")</f>
        <v>https://docs.wto.org/imrd/directdoc.asp?DDFDocuments/v/G/TBTN14/SAU721.DOC</v>
      </c>
      <c r="M644" s="2" t="str">
        <f>HYPERLINK("http://www.epingalert.org/#/details/G/TBT/N/SAU/721")</f>
        <v>http://www.epingalert.org/#/details/G/TBT/N/SAU/721</v>
      </c>
      <c r="N644" s="2"/>
      <c r="O644" s="2"/>
    </row>
    <row r="645" spans="1:15" ht="300" outlineLevel="1" x14ac:dyDescent="0.25">
      <c r="A645" s="2" t="s">
        <v>1198</v>
      </c>
      <c r="B645" s="4" t="s">
        <v>1357</v>
      </c>
      <c r="C645" s="2"/>
      <c r="D645" s="2"/>
      <c r="E645" s="3">
        <v>41703</v>
      </c>
      <c r="F645" s="2" t="s">
        <v>1358</v>
      </c>
      <c r="G645" s="2" t="s">
        <v>1359</v>
      </c>
      <c r="H645" s="2"/>
      <c r="I645" s="3">
        <v>41786</v>
      </c>
      <c r="J645" s="2" t="str">
        <f>HYPERLINK("https://docs.wto.org/imrd/directdoc.asp?DDFDocuments/t/G/TBTN14/ECU208.DOC")</f>
        <v>https://docs.wto.org/imrd/directdoc.asp?DDFDocuments/t/G/TBTN14/ECU208.DOC</v>
      </c>
      <c r="K645" s="2" t="str">
        <f>HYPERLINK("https://docs.wto.org/imrd/directdoc.asp?DDFDocuments/u/G/TBTN14/ECU208.DOC")</f>
        <v>https://docs.wto.org/imrd/directdoc.asp?DDFDocuments/u/G/TBTN14/ECU208.DOC</v>
      </c>
      <c r="L645" s="2" t="str">
        <f>HYPERLINK("https://docs.wto.org/imrd/directdoc.asp?DDFDocuments/v/G/TBTN14/ECU208.DOC")</f>
        <v>https://docs.wto.org/imrd/directdoc.asp?DDFDocuments/v/G/TBTN14/ECU208.DOC</v>
      </c>
      <c r="M645" s="2" t="str">
        <f>HYPERLINK("http://www.epingalert.org/#/details/G/TBT/N/ECU/208")</f>
        <v>http://www.epingalert.org/#/details/G/TBT/N/ECU/208</v>
      </c>
      <c r="N645" s="2"/>
      <c r="O645" s="2"/>
    </row>
    <row r="646" spans="1:15" ht="195" outlineLevel="1" x14ac:dyDescent="0.25">
      <c r="A646" s="2" t="s">
        <v>1198</v>
      </c>
      <c r="B646" s="4" t="s">
        <v>2365</v>
      </c>
      <c r="C646" s="2"/>
      <c r="D646" s="2"/>
      <c r="E646" s="3">
        <v>41698</v>
      </c>
      <c r="F646" s="2" t="s">
        <v>2366</v>
      </c>
      <c r="G646" s="2" t="s">
        <v>2367</v>
      </c>
      <c r="H646" s="2"/>
      <c r="I646" s="3">
        <v>41778</v>
      </c>
      <c r="J646" s="2" t="str">
        <f>HYPERLINK("https://docs.wto.org/imrd/directdoc.asp?DDFDocuments/t/G/TBTN14/ECU202.DOC")</f>
        <v>https://docs.wto.org/imrd/directdoc.asp?DDFDocuments/t/G/TBTN14/ECU202.DOC</v>
      </c>
      <c r="K646" s="2" t="str">
        <f>HYPERLINK("https://docs.wto.org/imrd/directdoc.asp?DDFDocuments/u/G/TBTN14/ECU202.DOC")</f>
        <v>https://docs.wto.org/imrd/directdoc.asp?DDFDocuments/u/G/TBTN14/ECU202.DOC</v>
      </c>
      <c r="L646" s="2" t="str">
        <f>HYPERLINK("https://docs.wto.org/imrd/directdoc.asp?DDFDocuments/v/G/TBTN14/ECU202.DOC")</f>
        <v>https://docs.wto.org/imrd/directdoc.asp?DDFDocuments/v/G/TBTN14/ECU202.DOC</v>
      </c>
      <c r="M646" s="2" t="str">
        <f>HYPERLINK("http://www.epingalert.org/#/details/G/TBT/N/ECU/202")</f>
        <v>http://www.epingalert.org/#/details/G/TBT/N/ECU/202</v>
      </c>
      <c r="N646" s="2"/>
      <c r="O646" s="2"/>
    </row>
    <row r="647" spans="1:15" ht="60" outlineLevel="1" x14ac:dyDescent="0.25">
      <c r="A647" s="2" t="s">
        <v>1198</v>
      </c>
      <c r="B647" s="4" t="s">
        <v>2368</v>
      </c>
      <c r="C647" s="2"/>
      <c r="D647" s="2"/>
      <c r="E647" s="3">
        <v>41698</v>
      </c>
      <c r="F647" s="2" t="s">
        <v>2369</v>
      </c>
      <c r="G647" s="2" t="s">
        <v>2370</v>
      </c>
      <c r="H647" s="2"/>
      <c r="I647" s="3">
        <v>41778</v>
      </c>
      <c r="J647" s="2" t="str">
        <f>HYPERLINK("https://docs.wto.org/imrd/directdoc.asp?DDFDocuments/t/G/TBTN14/ECU201.DOC")</f>
        <v>https://docs.wto.org/imrd/directdoc.asp?DDFDocuments/t/G/TBTN14/ECU201.DOC</v>
      </c>
      <c r="K647" s="2" t="str">
        <f>HYPERLINK("https://docs.wto.org/imrd/directdoc.asp?DDFDocuments/u/G/TBTN14/ECU201.DOC")</f>
        <v>https://docs.wto.org/imrd/directdoc.asp?DDFDocuments/u/G/TBTN14/ECU201.DOC</v>
      </c>
      <c r="L647" s="2" t="str">
        <f>HYPERLINK("https://docs.wto.org/imrd/directdoc.asp?DDFDocuments/v/G/TBTN14/ECU201.DOC")</f>
        <v>https://docs.wto.org/imrd/directdoc.asp?DDFDocuments/v/G/TBTN14/ECU201.DOC</v>
      </c>
      <c r="M647" s="2" t="str">
        <f>HYPERLINK("http://www.epingalert.org/#/details/G/TBT/N/ECU/201")</f>
        <v>http://www.epingalert.org/#/details/G/TBT/N/ECU/201</v>
      </c>
      <c r="N647" s="2"/>
      <c r="O647" s="2"/>
    </row>
    <row r="648" spans="1:15" ht="375" outlineLevel="1" x14ac:dyDescent="0.25">
      <c r="A648" s="2" t="s">
        <v>1198</v>
      </c>
      <c r="B648" s="4" t="s">
        <v>2371</v>
      </c>
      <c r="C648" s="2"/>
      <c r="D648" s="2"/>
      <c r="E648" s="3">
        <v>41698</v>
      </c>
      <c r="F648" s="2" t="s">
        <v>2372</v>
      </c>
      <c r="G648" s="2" t="s">
        <v>2373</v>
      </c>
      <c r="H648" s="2" t="s">
        <v>1006</v>
      </c>
      <c r="I648" s="3">
        <v>41778</v>
      </c>
      <c r="J648" s="2" t="str">
        <f>HYPERLINK("https://docs.wto.org/imrd/directdoc.asp?DDFDocuments/t/G/TBTN14/ECU199.DOC")</f>
        <v>https://docs.wto.org/imrd/directdoc.asp?DDFDocuments/t/G/TBTN14/ECU199.DOC</v>
      </c>
      <c r="K648" s="2" t="str">
        <f>HYPERLINK("https://docs.wto.org/imrd/directdoc.asp?DDFDocuments/u/G/TBTN14/ECU199.DOC")</f>
        <v>https://docs.wto.org/imrd/directdoc.asp?DDFDocuments/u/G/TBTN14/ECU199.DOC</v>
      </c>
      <c r="L648" s="2" t="str">
        <f>HYPERLINK("https://docs.wto.org/imrd/directdoc.asp?DDFDocuments/v/G/TBTN14/ECU199.DOC")</f>
        <v>https://docs.wto.org/imrd/directdoc.asp?DDFDocuments/v/G/TBTN14/ECU199.DOC</v>
      </c>
      <c r="M648" s="2" t="str">
        <f>HYPERLINK("http://www.epingalert.org/#/details/G/TBT/N/ECU/199")</f>
        <v>http://www.epingalert.org/#/details/G/TBT/N/ECU/199</v>
      </c>
      <c r="N648" s="2"/>
      <c r="O648" s="2"/>
    </row>
    <row r="649" spans="1:15" ht="409.5" outlineLevel="1" x14ac:dyDescent="0.25">
      <c r="A649" s="2" t="s">
        <v>47</v>
      </c>
      <c r="B649" s="4" t="s">
        <v>1360</v>
      </c>
      <c r="C649" s="2" t="s">
        <v>1361</v>
      </c>
      <c r="D649" s="2" t="s">
        <v>1362</v>
      </c>
      <c r="E649" s="3">
        <v>41698</v>
      </c>
      <c r="F649" s="2" t="s">
        <v>1363</v>
      </c>
      <c r="G649" s="2"/>
      <c r="H649" s="2" t="s">
        <v>17</v>
      </c>
      <c r="I649" s="3">
        <v>41758</v>
      </c>
      <c r="J649" s="2" t="str">
        <f>HYPERLINK("https://docs.wto.org/imrd/directdoc.asp?DDFDocuments/t/G/TBTN14/ISR744.DOC")</f>
        <v>https://docs.wto.org/imrd/directdoc.asp?DDFDocuments/t/G/TBTN14/ISR744.DOC</v>
      </c>
      <c r="K649" s="2" t="str">
        <f>HYPERLINK("https://docs.wto.org/imrd/directdoc.asp?DDFDocuments/u/G/TBTN14/ISR744.DOC")</f>
        <v>https://docs.wto.org/imrd/directdoc.asp?DDFDocuments/u/G/TBTN14/ISR744.DOC</v>
      </c>
      <c r="L649" s="2" t="str">
        <f>HYPERLINK("https://docs.wto.org/imrd/directdoc.asp?DDFDocuments/v/G/TBTN14/ISR744.DOC")</f>
        <v>https://docs.wto.org/imrd/directdoc.asp?DDFDocuments/v/G/TBTN14/ISR744.DOC</v>
      </c>
      <c r="M649" s="2" t="str">
        <f>HYPERLINK("http://www.epingalert.org/#/details/G/TBT/N/ISR/744")</f>
        <v>http://www.epingalert.org/#/details/G/TBT/N/ISR/744</v>
      </c>
      <c r="N649" s="2"/>
      <c r="O649" s="2"/>
    </row>
    <row r="650" spans="1:15" ht="90" outlineLevel="1" x14ac:dyDescent="0.25">
      <c r="A650" s="2" t="s">
        <v>1198</v>
      </c>
      <c r="B650" s="4" t="s">
        <v>2374</v>
      </c>
      <c r="C650" s="2"/>
      <c r="D650" s="2"/>
      <c r="E650" s="3">
        <v>41697</v>
      </c>
      <c r="F650" s="2" t="s">
        <v>2330</v>
      </c>
      <c r="G650" s="2" t="s">
        <v>2375</v>
      </c>
      <c r="H650" s="2" t="s">
        <v>30</v>
      </c>
      <c r="I650" s="2"/>
      <c r="J650" s="2" t="str">
        <f>HYPERLINK("https://docs.wto.org/imrd/directdoc.asp?DDFDocuments/t/G/TBTN14/ECU203.DOC")</f>
        <v>https://docs.wto.org/imrd/directdoc.asp?DDFDocuments/t/G/TBTN14/ECU203.DOC</v>
      </c>
      <c r="K650" s="2" t="str">
        <f>HYPERLINK("https://docs.wto.org/imrd/directdoc.asp?DDFDocuments/u/G/TBTN14/ECU203.DOC")</f>
        <v>https://docs.wto.org/imrd/directdoc.asp?DDFDocuments/u/G/TBTN14/ECU203.DOC</v>
      </c>
      <c r="L650" s="2" t="str">
        <f>HYPERLINK("https://docs.wto.org/imrd/directdoc.asp?DDFDocuments/v/G/TBTN14/ECU203.DOC")</f>
        <v>https://docs.wto.org/imrd/directdoc.asp?DDFDocuments/v/G/TBTN14/ECU203.DOC</v>
      </c>
      <c r="M650" s="2" t="str">
        <f>HYPERLINK("http://www.epingalert.org/#/details/G/TBT/N/ECU/203")</f>
        <v>http://www.epingalert.org/#/details/G/TBT/N/ECU/203</v>
      </c>
      <c r="N650" s="2"/>
      <c r="O650" s="2"/>
    </row>
    <row r="651" spans="1:15" ht="60" outlineLevel="1" x14ac:dyDescent="0.25">
      <c r="A651" s="2" t="s">
        <v>1198</v>
      </c>
      <c r="B651" s="4" t="s">
        <v>2376</v>
      </c>
      <c r="C651" s="2"/>
      <c r="D651" s="2"/>
      <c r="E651" s="3">
        <v>41694</v>
      </c>
      <c r="F651" s="2" t="s">
        <v>2377</v>
      </c>
      <c r="G651" s="2" t="s">
        <v>2378</v>
      </c>
      <c r="H651" s="2"/>
      <c r="I651" s="2"/>
      <c r="J651" s="2" t="str">
        <f>HYPERLINK("https://docs.wto.org/imrd/directdoc.asp?DDFDocuments/t/G/TBTN14/ECU194.DOC")</f>
        <v>https://docs.wto.org/imrd/directdoc.asp?DDFDocuments/t/G/TBTN14/ECU194.DOC</v>
      </c>
      <c r="K651" s="2" t="str">
        <f>HYPERLINK("https://docs.wto.org/imrd/directdoc.asp?DDFDocuments/u/G/TBTN14/ECU194.DOC")</f>
        <v>https://docs.wto.org/imrd/directdoc.asp?DDFDocuments/u/G/TBTN14/ECU194.DOC</v>
      </c>
      <c r="L651" s="2" t="str">
        <f>HYPERLINK("https://docs.wto.org/imrd/directdoc.asp?DDFDocuments/v/G/TBTN14/ECU194.DOC")</f>
        <v>https://docs.wto.org/imrd/directdoc.asp?DDFDocuments/v/G/TBTN14/ECU194.DOC</v>
      </c>
      <c r="M651" s="2" t="str">
        <f>HYPERLINK("http://www.epingalert.org/#/details/G/TBT/N/ECU/194")</f>
        <v>http://www.epingalert.org/#/details/G/TBT/N/ECU/194</v>
      </c>
      <c r="N651" s="2"/>
      <c r="O651" s="2"/>
    </row>
    <row r="652" spans="1:15" ht="330" outlineLevel="1" x14ac:dyDescent="0.25">
      <c r="A652" s="2" t="s">
        <v>12</v>
      </c>
      <c r="B652" s="4" t="s">
        <v>1364</v>
      </c>
      <c r="C652" s="2" t="s">
        <v>1365</v>
      </c>
      <c r="D652" s="2" t="s">
        <v>1366</v>
      </c>
      <c r="E652" s="3">
        <v>41691</v>
      </c>
      <c r="F652" s="2" t="s">
        <v>1367</v>
      </c>
      <c r="G652" s="2"/>
      <c r="H652" s="2" t="s">
        <v>17</v>
      </c>
      <c r="I652" s="3">
        <v>41751</v>
      </c>
      <c r="J652" s="2" t="str">
        <f>HYPERLINK("https://docs.wto.org/imrd/directdoc.asp?DDFDocuments/t/G/TBTN14/EU186.DOC")</f>
        <v>https://docs.wto.org/imrd/directdoc.asp?DDFDocuments/t/G/TBTN14/EU186.DOC</v>
      </c>
      <c r="K652" s="2" t="str">
        <f>HYPERLINK("https://docs.wto.org/imrd/directdoc.asp?DDFDocuments/u/G/TBTN14/EU186.DOC")</f>
        <v>https://docs.wto.org/imrd/directdoc.asp?DDFDocuments/u/G/TBTN14/EU186.DOC</v>
      </c>
      <c r="L652" s="2" t="str">
        <f>HYPERLINK("https://docs.wto.org/imrd/directdoc.asp?DDFDocuments/v/G/TBTN14/EU186.DOC")</f>
        <v>https://docs.wto.org/imrd/directdoc.asp?DDFDocuments/v/G/TBTN14/EU186.DOC</v>
      </c>
      <c r="M652" s="2" t="str">
        <f>HYPERLINK("http://www.epingalert.org/#/details/G/TBT/N/EU/186")</f>
        <v>http://www.epingalert.org/#/details/G/TBT/N/EU/186</v>
      </c>
      <c r="N652" s="2"/>
      <c r="O652" s="2"/>
    </row>
    <row r="653" spans="1:15" ht="60" outlineLevel="1" x14ac:dyDescent="0.25">
      <c r="A653" s="2" t="s">
        <v>180</v>
      </c>
      <c r="B653" s="4" t="s">
        <v>1368</v>
      </c>
      <c r="C653" s="2" t="s">
        <v>1369</v>
      </c>
      <c r="D653" s="2" t="s">
        <v>1331</v>
      </c>
      <c r="E653" s="3">
        <v>41691</v>
      </c>
      <c r="F653" s="2" t="s">
        <v>1370</v>
      </c>
      <c r="G653" s="2"/>
      <c r="H653" s="2" t="s">
        <v>1006</v>
      </c>
      <c r="I653" s="3">
        <v>41751</v>
      </c>
      <c r="J653" s="2" t="str">
        <f>HYPERLINK("https://docs.wto.org/imrd/directdoc.asp?DDFDocuments/t/G/TBTN14/KWT211.DOC")</f>
        <v>https://docs.wto.org/imrd/directdoc.asp?DDFDocuments/t/G/TBTN14/KWT211.DOC</v>
      </c>
      <c r="K653" s="2" t="str">
        <f>HYPERLINK("https://docs.wto.org/imrd/directdoc.asp?DDFDocuments/u/G/TBTN14/KWT211.DOC")</f>
        <v>https://docs.wto.org/imrd/directdoc.asp?DDFDocuments/u/G/TBTN14/KWT211.DOC</v>
      </c>
      <c r="L653" s="2" t="str">
        <f>HYPERLINK("https://docs.wto.org/imrd/directdoc.asp?DDFDocuments/v/G/TBTN14/KWT211.DOC")</f>
        <v>https://docs.wto.org/imrd/directdoc.asp?DDFDocuments/v/G/TBTN14/KWT211.DOC</v>
      </c>
      <c r="M653" s="2" t="str">
        <f>HYPERLINK("http://www.epingalert.org/#/details/G/TBT/N/KWT/211")</f>
        <v>http://www.epingalert.org/#/details/G/TBT/N/KWT/211</v>
      </c>
      <c r="N653" s="2"/>
      <c r="O653" s="2"/>
    </row>
    <row r="654" spans="1:15" ht="60" outlineLevel="1" x14ac:dyDescent="0.25">
      <c r="A654" s="2" t="s">
        <v>191</v>
      </c>
      <c r="B654" s="4" t="s">
        <v>2379</v>
      </c>
      <c r="C654" s="2"/>
      <c r="D654" s="2"/>
      <c r="E654" s="3">
        <v>41689</v>
      </c>
      <c r="F654" s="2" t="s">
        <v>2380</v>
      </c>
      <c r="G654" s="2" t="s">
        <v>2381</v>
      </c>
      <c r="H654" s="2"/>
      <c r="I654" s="3">
        <v>41749</v>
      </c>
      <c r="J654" s="2" t="str">
        <f>HYPERLINK("https://docs.wto.org/imrd/directdoc.asp?DDFDocuments/t/G/TBTN14/GTM85.DOC")</f>
        <v>https://docs.wto.org/imrd/directdoc.asp?DDFDocuments/t/G/TBTN14/GTM85.DOC</v>
      </c>
      <c r="K654" s="2" t="str">
        <f>HYPERLINK("https://docs.wto.org/imrd/directdoc.asp?DDFDocuments/u/G/TBTN14/GTM85.DOC")</f>
        <v>https://docs.wto.org/imrd/directdoc.asp?DDFDocuments/u/G/TBTN14/GTM85.DOC</v>
      </c>
      <c r="L654" s="2" t="str">
        <f>HYPERLINK("https://docs.wto.org/imrd/directdoc.asp?DDFDocuments/v/G/TBTN14/GTM85.DOC")</f>
        <v>https://docs.wto.org/imrd/directdoc.asp?DDFDocuments/v/G/TBTN14/GTM85.DOC</v>
      </c>
      <c r="M654" s="2" t="str">
        <f>HYPERLINK("http://www.epingalert.org/#/details/G/TBT/N/GTM/85")</f>
        <v>http://www.epingalert.org/#/details/G/TBT/N/GTM/85</v>
      </c>
      <c r="N654" s="2"/>
      <c r="O654" s="2"/>
    </row>
    <row r="655" spans="1:15" ht="60" outlineLevel="1" x14ac:dyDescent="0.25">
      <c r="A655" s="2" t="s">
        <v>191</v>
      </c>
      <c r="B655" s="4" t="s">
        <v>2382</v>
      </c>
      <c r="C655" s="2"/>
      <c r="D655" s="2"/>
      <c r="E655" s="3">
        <v>41689</v>
      </c>
      <c r="F655" s="2" t="s">
        <v>2383</v>
      </c>
      <c r="G655" s="2" t="s">
        <v>2248</v>
      </c>
      <c r="H655" s="2"/>
      <c r="I655" s="3">
        <v>41749</v>
      </c>
      <c r="J655" s="2" t="str">
        <f>HYPERLINK("https://docs.wto.org/imrd/directdoc.asp?DDFDocuments/t/G/TBTN14/GTM84.DOC")</f>
        <v>https://docs.wto.org/imrd/directdoc.asp?DDFDocuments/t/G/TBTN14/GTM84.DOC</v>
      </c>
      <c r="K655" s="2" t="str">
        <f>HYPERLINK("https://docs.wto.org/imrd/directdoc.asp?DDFDocuments/u/G/TBTN14/GTM84.DOC")</f>
        <v>https://docs.wto.org/imrd/directdoc.asp?DDFDocuments/u/G/TBTN14/GTM84.DOC</v>
      </c>
      <c r="L655" s="2" t="str">
        <f>HYPERLINK("https://docs.wto.org/imrd/directdoc.asp?DDFDocuments/v/G/TBTN14/GTM84.DOC")</f>
        <v>https://docs.wto.org/imrd/directdoc.asp?DDFDocuments/v/G/TBTN14/GTM84.DOC</v>
      </c>
      <c r="M655" s="2" t="str">
        <f>HYPERLINK("http://www.epingalert.org/#/details/G/TBT/N/GTM/84")</f>
        <v>http://www.epingalert.org/#/details/G/TBT/N/GTM/84</v>
      </c>
      <c r="N655" s="2"/>
      <c r="O655" s="2"/>
    </row>
    <row r="656" spans="1:15" ht="105" outlineLevel="1" x14ac:dyDescent="0.25">
      <c r="A656" s="2" t="s">
        <v>179</v>
      </c>
      <c r="B656" s="4" t="s">
        <v>1842</v>
      </c>
      <c r="C656" s="2" t="s">
        <v>1843</v>
      </c>
      <c r="D656" s="2" t="s">
        <v>1844</v>
      </c>
      <c r="E656" s="3">
        <v>41687</v>
      </c>
      <c r="F656" s="2" t="s">
        <v>1845</v>
      </c>
      <c r="G656" s="2"/>
      <c r="H656" s="2" t="s">
        <v>17</v>
      </c>
      <c r="I656" s="3">
        <v>41747</v>
      </c>
      <c r="J656" s="2" t="str">
        <f>HYPERLINK("https://docs.wto.org/imrd/directdoc.asp?DDFDocuments/t/G/TBTN14/OMN150.DOC")</f>
        <v>https://docs.wto.org/imrd/directdoc.asp?DDFDocuments/t/G/TBTN14/OMN150.DOC</v>
      </c>
      <c r="K656" s="2" t="str">
        <f>HYPERLINK("https://docs.wto.org/imrd/directdoc.asp?DDFDocuments/u/G/TBTN14/OMN150.DOC")</f>
        <v>https://docs.wto.org/imrd/directdoc.asp?DDFDocuments/u/G/TBTN14/OMN150.DOC</v>
      </c>
      <c r="L656" s="2" t="str">
        <f>HYPERLINK("https://docs.wto.org/imrd/directdoc.asp?DDFDocuments/v/G/TBTN14/OMN150.DOC")</f>
        <v>https://docs.wto.org/imrd/directdoc.asp?DDFDocuments/v/G/TBTN14/OMN150.DOC</v>
      </c>
      <c r="M656" s="2" t="str">
        <f>HYPERLINK("http://www.epingalert.org/#/details/G/TBT/N/OMN/150")</f>
        <v>http://www.epingalert.org/#/details/G/TBT/N/OMN/150</v>
      </c>
      <c r="N656" s="2"/>
      <c r="O656" s="2"/>
    </row>
    <row r="657" spans="1:15" ht="409.5" outlineLevel="1" x14ac:dyDescent="0.25">
      <c r="A657" s="2" t="s">
        <v>562</v>
      </c>
      <c r="B657" s="4" t="s">
        <v>1376</v>
      </c>
      <c r="C657" s="2" t="s">
        <v>1377</v>
      </c>
      <c r="D657" s="2" t="s">
        <v>1378</v>
      </c>
      <c r="E657" s="3">
        <v>41684</v>
      </c>
      <c r="F657" s="2" t="s">
        <v>46</v>
      </c>
      <c r="G657" s="2"/>
      <c r="H657" s="2" t="s">
        <v>17</v>
      </c>
      <c r="I657" s="3">
        <v>41744</v>
      </c>
      <c r="J657" s="2" t="str">
        <f>HYPERLINK("https://docs.wto.org/imrd/directdoc.asp?DDFDocuments/t/G/TBTN14/SGP20.DOC")</f>
        <v>https://docs.wto.org/imrd/directdoc.asp?DDFDocuments/t/G/TBTN14/SGP20.DOC</v>
      </c>
      <c r="K657" s="2" t="str">
        <f>HYPERLINK("https://docs.wto.org/imrd/directdoc.asp?DDFDocuments/u/G/TBTN14/SGP20.DOC")</f>
        <v>https://docs.wto.org/imrd/directdoc.asp?DDFDocuments/u/G/TBTN14/SGP20.DOC</v>
      </c>
      <c r="L657" s="2" t="str">
        <f>HYPERLINK("https://docs.wto.org/imrd/directdoc.asp?DDFDocuments/v/G/TBTN14/SGP20.DOC")</f>
        <v>https://docs.wto.org/imrd/directdoc.asp?DDFDocuments/v/G/TBTN14/SGP20.DOC</v>
      </c>
      <c r="M657" s="2" t="str">
        <f>HYPERLINK("http://www.epingalert.org/#/details/G/TBT/N/SGP/20")</f>
        <v>http://www.epingalert.org/#/details/G/TBT/N/SGP/20</v>
      </c>
      <c r="N657" s="2"/>
      <c r="O657" s="2"/>
    </row>
    <row r="658" spans="1:15" ht="165" outlineLevel="1" x14ac:dyDescent="0.25">
      <c r="A658" s="2" t="s">
        <v>18</v>
      </c>
      <c r="B658" s="4" t="s">
        <v>1371</v>
      </c>
      <c r="C658" s="2" t="s">
        <v>1372</v>
      </c>
      <c r="D658" s="2" t="s">
        <v>1373</v>
      </c>
      <c r="E658" s="3">
        <v>41684</v>
      </c>
      <c r="F658" s="2" t="s">
        <v>1374</v>
      </c>
      <c r="G658" s="2" t="s">
        <v>1375</v>
      </c>
      <c r="H658" s="2" t="s">
        <v>17</v>
      </c>
      <c r="I658" s="3">
        <v>41725</v>
      </c>
      <c r="J658" s="2" t="str">
        <f>HYPERLINK("https://docs.wto.org/imrd/directdoc.asp?DDFDocuments/t/G/TBTN14/USA885.DOC")</f>
        <v>https://docs.wto.org/imrd/directdoc.asp?DDFDocuments/t/G/TBTN14/USA885.DOC</v>
      </c>
      <c r="K658" s="2" t="str">
        <f>HYPERLINK("https://docs.wto.org/imrd/directdoc.asp?DDFDocuments/u/G/TBTN14/USA885.DOC")</f>
        <v>https://docs.wto.org/imrd/directdoc.asp?DDFDocuments/u/G/TBTN14/USA885.DOC</v>
      </c>
      <c r="L658" s="2" t="str">
        <f>HYPERLINK("https://docs.wto.org/imrd/directdoc.asp?DDFDocuments/v/G/TBTN14/USA885.DOC")</f>
        <v>https://docs.wto.org/imrd/directdoc.asp?DDFDocuments/v/G/TBTN14/USA885.DOC</v>
      </c>
      <c r="M658" s="2" t="str">
        <f>HYPERLINK("http://www.epingalert.org/#/details/G/TBT/N/USA/885")</f>
        <v>http://www.epingalert.org/#/details/G/TBT/N/USA/885</v>
      </c>
      <c r="N658" s="2"/>
      <c r="O658" s="2"/>
    </row>
    <row r="659" spans="1:15" ht="120" outlineLevel="1" x14ac:dyDescent="0.25">
      <c r="A659" s="2" t="s">
        <v>444</v>
      </c>
      <c r="B659" s="4" t="s">
        <v>1379</v>
      </c>
      <c r="C659" s="2" t="s">
        <v>1380</v>
      </c>
      <c r="D659" s="2" t="s">
        <v>1381</v>
      </c>
      <c r="E659" s="3">
        <v>41681</v>
      </c>
      <c r="F659" s="2" t="s">
        <v>1382</v>
      </c>
      <c r="G659" s="2"/>
      <c r="H659" s="2"/>
      <c r="I659" s="3">
        <v>41741</v>
      </c>
      <c r="J659" s="2" t="str">
        <f>HYPERLINK("https://docs.wto.org/imrd/directdoc.asp?DDFDocuments/t/G/TBTN14/MYS38.DOC")</f>
        <v>https://docs.wto.org/imrd/directdoc.asp?DDFDocuments/t/G/TBTN14/MYS38.DOC</v>
      </c>
      <c r="K659" s="2" t="str">
        <f>HYPERLINK("https://docs.wto.org/imrd/directdoc.asp?DDFDocuments/u/G/TBTN14/MYS38.DOC")</f>
        <v>https://docs.wto.org/imrd/directdoc.asp?DDFDocuments/u/G/TBTN14/MYS38.DOC</v>
      </c>
      <c r="L659" s="2" t="str">
        <f>HYPERLINK("https://docs.wto.org/imrd/directdoc.asp?DDFDocuments/v/G/TBTN14/MYS38.DOC")</f>
        <v>https://docs.wto.org/imrd/directdoc.asp?DDFDocuments/v/G/TBTN14/MYS38.DOC</v>
      </c>
      <c r="M659" s="2" t="str">
        <f>HYPERLINK("http://www.epingalert.org/#/details/G/TBT/N/MYS/38")</f>
        <v>http://www.epingalert.org/#/details/G/TBT/N/MYS/38</v>
      </c>
      <c r="N659" s="2"/>
      <c r="O659" s="2"/>
    </row>
    <row r="660" spans="1:15" ht="409.5" outlineLevel="1" x14ac:dyDescent="0.25">
      <c r="A660" s="2" t="s">
        <v>47</v>
      </c>
      <c r="B660" s="4" t="s">
        <v>2384</v>
      </c>
      <c r="C660" s="2" t="s">
        <v>2385</v>
      </c>
      <c r="D660" s="2" t="s">
        <v>2386</v>
      </c>
      <c r="E660" s="3">
        <v>41677</v>
      </c>
      <c r="F660" s="2" t="s">
        <v>2387</v>
      </c>
      <c r="G660" s="2" t="s">
        <v>1895</v>
      </c>
      <c r="H660" s="2" t="s">
        <v>17</v>
      </c>
      <c r="I660" s="3">
        <v>41737</v>
      </c>
      <c r="J660" s="2" t="str">
        <f>HYPERLINK("https://docs.wto.org/imrd/directdoc.asp?DDFDocuments/t/G/TBTN14/ISR734.DOC")</f>
        <v>https://docs.wto.org/imrd/directdoc.asp?DDFDocuments/t/G/TBTN14/ISR734.DOC</v>
      </c>
      <c r="K660" s="2" t="str">
        <f>HYPERLINK("https://docs.wto.org/imrd/directdoc.asp?DDFDocuments/u/G/TBTN14/ISR734.DOC")</f>
        <v>https://docs.wto.org/imrd/directdoc.asp?DDFDocuments/u/G/TBTN14/ISR734.DOC</v>
      </c>
      <c r="L660" s="2" t="str">
        <f>HYPERLINK("https://docs.wto.org/imrd/directdoc.asp?DDFDocuments/v/G/TBTN14/ISR734.DOC")</f>
        <v>https://docs.wto.org/imrd/directdoc.asp?DDFDocuments/v/G/TBTN14/ISR734.DOC</v>
      </c>
      <c r="M660" s="2" t="str">
        <f>HYPERLINK("http://www.epingalert.org/#/details/G/TBT/N/ISR/734")</f>
        <v>http://www.epingalert.org/#/details/G/TBT/N/ISR/734</v>
      </c>
      <c r="N660" s="2"/>
      <c r="O660" s="2"/>
    </row>
    <row r="661" spans="1:15" ht="390" outlineLevel="1" x14ac:dyDescent="0.25">
      <c r="A661" s="2" t="s">
        <v>37</v>
      </c>
      <c r="B661" s="4" t="s">
        <v>1383</v>
      </c>
      <c r="C661" s="2" t="s">
        <v>1384</v>
      </c>
      <c r="D661" s="2" t="s">
        <v>1385</v>
      </c>
      <c r="E661" s="3">
        <v>41676</v>
      </c>
      <c r="F661" s="2" t="s">
        <v>1386</v>
      </c>
      <c r="G661" s="2"/>
      <c r="H661" s="2" t="s">
        <v>82</v>
      </c>
      <c r="I661" s="2"/>
      <c r="J661" s="2" t="str">
        <f>HYPERLINK("https://docs.wto.org/imrd/directdoc.asp?DDFDocuments/t/G/TBTN14/TUR45.DOC")</f>
        <v>https://docs.wto.org/imrd/directdoc.asp?DDFDocuments/t/G/TBTN14/TUR45.DOC</v>
      </c>
      <c r="K661" s="2" t="str">
        <f>HYPERLINK("https://docs.wto.org/imrd/directdoc.asp?DDFDocuments/u/G/TBTN14/TUR45.DOC")</f>
        <v>https://docs.wto.org/imrd/directdoc.asp?DDFDocuments/u/G/TBTN14/TUR45.DOC</v>
      </c>
      <c r="L661" s="2" t="str">
        <f>HYPERLINK("https://docs.wto.org/imrd/directdoc.asp?DDFDocuments/v/G/TBTN14/TUR45.DOC")</f>
        <v>https://docs.wto.org/imrd/directdoc.asp?DDFDocuments/v/G/TBTN14/TUR45.DOC</v>
      </c>
      <c r="M661" s="2" t="str">
        <f>HYPERLINK("http://www.epingalert.org/#/details/G/TBT/N/TUR/45")</f>
        <v>http://www.epingalert.org/#/details/G/TBT/N/TUR/45</v>
      </c>
      <c r="N661" s="2"/>
      <c r="O661" s="2"/>
    </row>
    <row r="662" spans="1:15" ht="120" outlineLevel="1" x14ac:dyDescent="0.25">
      <c r="A662" s="2" t="s">
        <v>12</v>
      </c>
      <c r="B662" s="4" t="s">
        <v>1387</v>
      </c>
      <c r="C662" s="2" t="s">
        <v>1388</v>
      </c>
      <c r="D662" s="2" t="s">
        <v>1297</v>
      </c>
      <c r="E662" s="3">
        <v>41675</v>
      </c>
      <c r="F662" s="2" t="s">
        <v>86</v>
      </c>
      <c r="G662" s="2"/>
      <c r="H662" s="2" t="s">
        <v>17</v>
      </c>
      <c r="I662" s="3">
        <v>41735</v>
      </c>
      <c r="J662" s="2" t="str">
        <f>HYPERLINK("https://docs.wto.org/imrd/directdoc.asp?DDFDocuments/t/G/TBTN14/EU180.DOC")</f>
        <v>https://docs.wto.org/imrd/directdoc.asp?DDFDocuments/t/G/TBTN14/EU180.DOC</v>
      </c>
      <c r="K662" s="2" t="str">
        <f>HYPERLINK("https://docs.wto.org/imrd/directdoc.asp?DDFDocuments/u/G/TBTN14/EU180.DOC")</f>
        <v>https://docs.wto.org/imrd/directdoc.asp?DDFDocuments/u/G/TBTN14/EU180.DOC</v>
      </c>
      <c r="L662" s="2" t="str">
        <f>HYPERLINK("https://docs.wto.org/imrd/directdoc.asp?DDFDocuments/v/G/TBTN14/EU180.DOC")</f>
        <v>https://docs.wto.org/imrd/directdoc.asp?DDFDocuments/v/G/TBTN14/EU180.DOC</v>
      </c>
      <c r="M662" s="2" t="str">
        <f>HYPERLINK("http://www.epingalert.org/#/details/G/TBT/N/EU/180")</f>
        <v>http://www.epingalert.org/#/details/G/TBT/N/EU/180</v>
      </c>
      <c r="N662" s="2"/>
      <c r="O662" s="2"/>
    </row>
    <row r="663" spans="1:15" ht="90" outlineLevel="1" x14ac:dyDescent="0.25">
      <c r="A663" s="2" t="s">
        <v>1389</v>
      </c>
      <c r="B663" s="4" t="s">
        <v>1390</v>
      </c>
      <c r="C663" s="2" t="s">
        <v>1391</v>
      </c>
      <c r="D663" s="2" t="s">
        <v>1392</v>
      </c>
      <c r="E663" s="3">
        <v>41675</v>
      </c>
      <c r="F663" s="2" t="s">
        <v>1393</v>
      </c>
      <c r="G663" s="2"/>
      <c r="H663" s="2"/>
      <c r="I663" s="3">
        <v>41735</v>
      </c>
      <c r="J663" s="2" t="str">
        <f>HYPERLINK("https://docs.wto.org/imrd/directdoc.asp?DDFDocuments/t/G/TBTN14/JAM41.DOC")</f>
        <v>https://docs.wto.org/imrd/directdoc.asp?DDFDocuments/t/G/TBTN14/JAM41.DOC</v>
      </c>
      <c r="K663" s="2" t="str">
        <f>HYPERLINK("https://docs.wto.org/imrd/directdoc.asp?DDFDocuments/u/G/TBTN14/JAM41.DOC")</f>
        <v>https://docs.wto.org/imrd/directdoc.asp?DDFDocuments/u/G/TBTN14/JAM41.DOC</v>
      </c>
      <c r="L663" s="2" t="str">
        <f>HYPERLINK("https://docs.wto.org/imrd/directdoc.asp?DDFDocuments/v/G/TBTN14/JAM41.DOC")</f>
        <v>https://docs.wto.org/imrd/directdoc.asp?DDFDocuments/v/G/TBTN14/JAM41.DOC</v>
      </c>
      <c r="M663" s="2" t="str">
        <f>HYPERLINK("http://www.epingalert.org/#/details/G/TBT/N/JAM/41")</f>
        <v>http://www.epingalert.org/#/details/G/TBT/N/JAM/41</v>
      </c>
      <c r="N663" s="2"/>
      <c r="O663" s="2"/>
    </row>
    <row r="664" spans="1:15" ht="105" outlineLevel="1" x14ac:dyDescent="0.25">
      <c r="A664" s="2" t="s">
        <v>184</v>
      </c>
      <c r="B664" s="4" t="s">
        <v>1394</v>
      </c>
      <c r="C664" s="2" t="s">
        <v>1395</v>
      </c>
      <c r="D664" s="2" t="s">
        <v>1396</v>
      </c>
      <c r="E664" s="3">
        <v>41674</v>
      </c>
      <c r="F664" s="2" t="s">
        <v>1397</v>
      </c>
      <c r="G664" s="2"/>
      <c r="H664" s="2" t="s">
        <v>17</v>
      </c>
      <c r="I664" s="3">
        <v>41734</v>
      </c>
      <c r="J664" s="2" t="str">
        <f>HYPERLINK("https://docs.wto.org/imrd/directdoc.asp?DDFDocuments/t/G/TBTN14/ARE187.DOC")</f>
        <v>https://docs.wto.org/imrd/directdoc.asp?DDFDocuments/t/G/TBTN14/ARE187.DOC</v>
      </c>
      <c r="K664" s="2" t="str">
        <f>HYPERLINK("https://docs.wto.org/imrd/directdoc.asp?DDFDocuments/u/G/TBTN14/ARE187.DOC")</f>
        <v>https://docs.wto.org/imrd/directdoc.asp?DDFDocuments/u/G/TBTN14/ARE187.DOC</v>
      </c>
      <c r="L664" s="2" t="str">
        <f>HYPERLINK("https://docs.wto.org/imrd/directdoc.asp?DDFDocuments/v/G/TBTN14/ARE187.DOC")</f>
        <v>https://docs.wto.org/imrd/directdoc.asp?DDFDocuments/v/G/TBTN14/ARE187.DOC</v>
      </c>
      <c r="M664" s="2" t="str">
        <f>HYPERLINK("http://www.epingalert.org/#/details/G/TBT/N/ARE/187")</f>
        <v>http://www.epingalert.org/#/details/G/TBT/N/ARE/187</v>
      </c>
      <c r="N664" s="2"/>
      <c r="O664" s="2"/>
    </row>
    <row r="665" spans="1:15" ht="105" outlineLevel="1" x14ac:dyDescent="0.25">
      <c r="A665" s="2" t="s">
        <v>184</v>
      </c>
      <c r="B665" s="4" t="s">
        <v>1398</v>
      </c>
      <c r="C665" s="2" t="s">
        <v>1399</v>
      </c>
      <c r="D665" s="2" t="s">
        <v>1400</v>
      </c>
      <c r="E665" s="3">
        <v>41674</v>
      </c>
      <c r="F665" s="2" t="s">
        <v>1397</v>
      </c>
      <c r="G665" s="2"/>
      <c r="H665" s="2" t="s">
        <v>17</v>
      </c>
      <c r="I665" s="3">
        <v>41734</v>
      </c>
      <c r="J665" s="2" t="str">
        <f>HYPERLINK("https://docs.wto.org/imrd/directdoc.asp?DDFDocuments/t/G/TBTN14/ARE186.DOC")</f>
        <v>https://docs.wto.org/imrd/directdoc.asp?DDFDocuments/t/G/TBTN14/ARE186.DOC</v>
      </c>
      <c r="K665" s="2" t="str">
        <f>HYPERLINK("https://docs.wto.org/imrd/directdoc.asp?DDFDocuments/u/G/TBTN14/ARE186.DOC")</f>
        <v>https://docs.wto.org/imrd/directdoc.asp?DDFDocuments/u/G/TBTN14/ARE186.DOC</v>
      </c>
      <c r="L665" s="2" t="str">
        <f>HYPERLINK("https://docs.wto.org/imrd/directdoc.asp?DDFDocuments/v/G/TBTN14/ARE186.DOC")</f>
        <v>https://docs.wto.org/imrd/directdoc.asp?DDFDocuments/v/G/TBTN14/ARE186.DOC</v>
      </c>
      <c r="M665" s="2" t="str">
        <f>HYPERLINK("http://www.epingalert.org/#/details/G/TBT/N/ARE/186")</f>
        <v>http://www.epingalert.org/#/details/G/TBT/N/ARE/186</v>
      </c>
      <c r="N665" s="2"/>
      <c r="O665" s="2"/>
    </row>
    <row r="666" spans="1:15" ht="60" outlineLevel="1" x14ac:dyDescent="0.25">
      <c r="A666" s="2" t="s">
        <v>42</v>
      </c>
      <c r="B666" s="4" t="s">
        <v>2388</v>
      </c>
      <c r="C666" s="2" t="s">
        <v>2389</v>
      </c>
      <c r="D666" s="2" t="s">
        <v>2390</v>
      </c>
      <c r="E666" s="3">
        <v>41670</v>
      </c>
      <c r="F666" s="2"/>
      <c r="G666" s="2" t="s">
        <v>2391</v>
      </c>
      <c r="H666" s="2" t="s">
        <v>127</v>
      </c>
      <c r="I666" s="3">
        <v>41722</v>
      </c>
      <c r="J666" s="2" t="str">
        <f>HYPERLINK("https://docs.wto.org/imrd/directdoc.asp?DDFDocuments/t/G/TBTN14/BRA578.DOC")</f>
        <v>https://docs.wto.org/imrd/directdoc.asp?DDFDocuments/t/G/TBTN14/BRA578.DOC</v>
      </c>
      <c r="K666" s="2" t="str">
        <f>HYPERLINK("https://docs.wto.org/imrd/directdoc.asp?DDFDocuments/u/G/TBTN14/BRA578.DOC")</f>
        <v>https://docs.wto.org/imrd/directdoc.asp?DDFDocuments/u/G/TBTN14/BRA578.DOC</v>
      </c>
      <c r="L666" s="2" t="str">
        <f>HYPERLINK("https://docs.wto.org/imrd/directdoc.asp?DDFDocuments/v/G/TBTN14/BRA578.DOC")</f>
        <v>https://docs.wto.org/imrd/directdoc.asp?DDFDocuments/v/G/TBTN14/BRA578.DOC</v>
      </c>
      <c r="M666" s="2" t="str">
        <f>HYPERLINK("http://www.epingalert.org/#/details/G/TBT/N/BRA/578")</f>
        <v>http://www.epingalert.org/#/details/G/TBT/N/BRA/578</v>
      </c>
      <c r="N666" s="2"/>
      <c r="O666" s="2"/>
    </row>
    <row r="667" spans="1:15" ht="120" outlineLevel="1" x14ac:dyDescent="0.25">
      <c r="A667" s="2" t="s">
        <v>1401</v>
      </c>
      <c r="B667" s="4" t="s">
        <v>1402</v>
      </c>
      <c r="C667" s="2" t="s">
        <v>1403</v>
      </c>
      <c r="D667" s="2" t="s">
        <v>1404</v>
      </c>
      <c r="E667" s="3">
        <v>41670</v>
      </c>
      <c r="F667" s="2" t="s">
        <v>1405</v>
      </c>
      <c r="G667" s="2" t="s">
        <v>1406</v>
      </c>
      <c r="H667" s="2" t="s">
        <v>30</v>
      </c>
      <c r="I667" s="2"/>
      <c r="J667" s="2" t="str">
        <f>HYPERLINK("https://docs.wto.org/imrd/directdoc.asp?DDFDocuments/t/G/TBTN14/RWA22.DOC")</f>
        <v>https://docs.wto.org/imrd/directdoc.asp?DDFDocuments/t/G/TBTN14/RWA22.DOC</v>
      </c>
      <c r="K667" s="2" t="str">
        <f>HYPERLINK("https://docs.wto.org/imrd/directdoc.asp?DDFDocuments/u/G/TBTN14/RWA22.DOC")</f>
        <v>https://docs.wto.org/imrd/directdoc.asp?DDFDocuments/u/G/TBTN14/RWA22.DOC</v>
      </c>
      <c r="L667" s="2" t="str">
        <f>HYPERLINK("https://docs.wto.org/imrd/directdoc.asp?DDFDocuments/v/G/TBTN14/RWA22.DOC")</f>
        <v>https://docs.wto.org/imrd/directdoc.asp?DDFDocuments/v/G/TBTN14/RWA22.DOC</v>
      </c>
      <c r="M667" s="2" t="str">
        <f>HYPERLINK("http://www.epingalert.org/#/details/G/TBT/N/RWA/22")</f>
        <v>http://www.epingalert.org/#/details/G/TBT/N/RWA/22</v>
      </c>
      <c r="N667" s="2"/>
      <c r="O667" s="2"/>
    </row>
    <row r="668" spans="1:15" ht="135" outlineLevel="1" x14ac:dyDescent="0.25">
      <c r="A668" s="2" t="s">
        <v>1401</v>
      </c>
      <c r="B668" s="4" t="s">
        <v>1407</v>
      </c>
      <c r="C668" s="2" t="s">
        <v>1403</v>
      </c>
      <c r="D668" s="2" t="s">
        <v>1408</v>
      </c>
      <c r="E668" s="3">
        <v>41670</v>
      </c>
      <c r="F668" s="2" t="s">
        <v>1409</v>
      </c>
      <c r="G668" s="2" t="s">
        <v>23</v>
      </c>
      <c r="H668" s="2" t="s">
        <v>30</v>
      </c>
      <c r="I668" s="2"/>
      <c r="J668" s="2" t="str">
        <f>HYPERLINK("https://docs.wto.org/imrd/directdoc.asp?DDFDocuments/t/G/TBTN14/RWA15.DOC")</f>
        <v>https://docs.wto.org/imrd/directdoc.asp?DDFDocuments/t/G/TBTN14/RWA15.DOC</v>
      </c>
      <c r="K668" s="2" t="str">
        <f>HYPERLINK("https://docs.wto.org/imrd/directdoc.asp?DDFDocuments/u/G/TBTN14/RWA15.DOC")</f>
        <v>https://docs.wto.org/imrd/directdoc.asp?DDFDocuments/u/G/TBTN14/RWA15.DOC</v>
      </c>
      <c r="L668" s="2" t="str">
        <f>HYPERLINK("https://docs.wto.org/imrd/directdoc.asp?DDFDocuments/v/G/TBTN14/RWA15.DOC")</f>
        <v>https://docs.wto.org/imrd/directdoc.asp?DDFDocuments/v/G/TBTN14/RWA15.DOC</v>
      </c>
      <c r="M668" s="2" t="str">
        <f>HYPERLINK("http://www.epingalert.org/#/details/G/TBT/N/RWA/15")</f>
        <v>http://www.epingalert.org/#/details/G/TBT/N/RWA/15</v>
      </c>
      <c r="N668" s="2"/>
      <c r="O668" s="2"/>
    </row>
    <row r="669" spans="1:15" ht="90" outlineLevel="1" x14ac:dyDescent="0.25">
      <c r="A669" s="2" t="s">
        <v>1401</v>
      </c>
      <c r="B669" s="4" t="s">
        <v>1410</v>
      </c>
      <c r="C669" s="2" t="s">
        <v>1403</v>
      </c>
      <c r="D669" s="2" t="s">
        <v>1411</v>
      </c>
      <c r="E669" s="3">
        <v>41670</v>
      </c>
      <c r="F669" s="2" t="s">
        <v>1412</v>
      </c>
      <c r="G669" s="2" t="s">
        <v>23</v>
      </c>
      <c r="H669" s="2" t="s">
        <v>30</v>
      </c>
      <c r="I669" s="2"/>
      <c r="J669" s="2" t="str">
        <f>HYPERLINK("https://docs.wto.org/imrd/directdoc.asp?DDFDocuments/t/G/TBTN14/RWA14.DOC")</f>
        <v>https://docs.wto.org/imrd/directdoc.asp?DDFDocuments/t/G/TBTN14/RWA14.DOC</v>
      </c>
      <c r="K669" s="2" t="str">
        <f>HYPERLINK("https://docs.wto.org/imrd/directdoc.asp?DDFDocuments/u/G/TBTN14/RWA14.DOC")</f>
        <v>https://docs.wto.org/imrd/directdoc.asp?DDFDocuments/u/G/TBTN14/RWA14.DOC</v>
      </c>
      <c r="L669" s="2" t="str">
        <f>HYPERLINK("https://docs.wto.org/imrd/directdoc.asp?DDFDocuments/v/G/TBTN14/RWA14.DOC")</f>
        <v>https://docs.wto.org/imrd/directdoc.asp?DDFDocuments/v/G/TBTN14/RWA14.DOC</v>
      </c>
      <c r="M669" s="2" t="str">
        <f>HYPERLINK("http://www.epingalert.org/#/details/G/TBT/N/RWA/14")</f>
        <v>http://www.epingalert.org/#/details/G/TBT/N/RWA/14</v>
      </c>
      <c r="N669" s="2"/>
      <c r="O669" s="2"/>
    </row>
    <row r="670" spans="1:15" ht="409.5" outlineLevel="1" x14ac:dyDescent="0.25">
      <c r="A670" s="2" t="s">
        <v>1401</v>
      </c>
      <c r="B670" s="4" t="s">
        <v>1612</v>
      </c>
      <c r="C670" s="2" t="s">
        <v>1403</v>
      </c>
      <c r="D670" s="2" t="s">
        <v>1613</v>
      </c>
      <c r="E670" s="3">
        <v>41670</v>
      </c>
      <c r="F670" s="2" t="s">
        <v>1614</v>
      </c>
      <c r="G670" s="2" t="s">
        <v>1515</v>
      </c>
      <c r="H670" s="2" t="s">
        <v>30</v>
      </c>
      <c r="I670" s="2"/>
      <c r="J670" s="2" t="str">
        <f>HYPERLINK("https://docs.wto.org/imrd/directdoc.asp?DDFDocuments/t/G/TBTN14/RWA21.DOC")</f>
        <v>https://docs.wto.org/imrd/directdoc.asp?DDFDocuments/t/G/TBTN14/RWA21.DOC</v>
      </c>
      <c r="K670" s="2" t="str">
        <f>HYPERLINK("https://docs.wto.org/imrd/directdoc.asp?DDFDocuments/u/G/TBTN14/RWA21.DOC")</f>
        <v>https://docs.wto.org/imrd/directdoc.asp?DDFDocuments/u/G/TBTN14/RWA21.DOC</v>
      </c>
      <c r="L670" s="2" t="str">
        <f>HYPERLINK("https://docs.wto.org/imrd/directdoc.asp?DDFDocuments/v/G/TBTN14/RWA21.DOC")</f>
        <v>https://docs.wto.org/imrd/directdoc.asp?DDFDocuments/v/G/TBTN14/RWA21.DOC</v>
      </c>
      <c r="M670" s="2" t="str">
        <f>HYPERLINK("http://www.epingalert.org/#/details/G/TBT/N/RWA/21")</f>
        <v>http://www.epingalert.org/#/details/G/TBT/N/RWA/21</v>
      </c>
      <c r="N670" s="2"/>
      <c r="O670" s="2"/>
    </row>
    <row r="671" spans="1:15" ht="105" outlineLevel="1" x14ac:dyDescent="0.25">
      <c r="A671" s="2" t="s">
        <v>1401</v>
      </c>
      <c r="B671" s="4" t="s">
        <v>1413</v>
      </c>
      <c r="C671" s="2" t="s">
        <v>1403</v>
      </c>
      <c r="D671" s="2" t="s">
        <v>1414</v>
      </c>
      <c r="E671" s="3">
        <v>41668</v>
      </c>
      <c r="F671" s="2" t="s">
        <v>1415</v>
      </c>
      <c r="G671" s="2" t="s">
        <v>804</v>
      </c>
      <c r="H671" s="2" t="s">
        <v>30</v>
      </c>
      <c r="I671" s="2"/>
      <c r="J671" s="2" t="str">
        <f>HYPERLINK("https://docs.wto.org/imrd/directdoc.asp?DDFDocuments/t/G/TBTN14/RWA12.DOC")</f>
        <v>https://docs.wto.org/imrd/directdoc.asp?DDFDocuments/t/G/TBTN14/RWA12.DOC</v>
      </c>
      <c r="K671" s="2" t="str">
        <f>HYPERLINK("https://docs.wto.org/imrd/directdoc.asp?DDFDocuments/u/G/TBTN14/RWA12.DOC")</f>
        <v>https://docs.wto.org/imrd/directdoc.asp?DDFDocuments/u/G/TBTN14/RWA12.DOC</v>
      </c>
      <c r="L671" s="2" t="str">
        <f>HYPERLINK("https://docs.wto.org/imrd/directdoc.asp?DDFDocuments/v/G/TBTN14/RWA12.DOC")</f>
        <v>https://docs.wto.org/imrd/directdoc.asp?DDFDocuments/v/G/TBTN14/RWA12.DOC</v>
      </c>
      <c r="M671" s="2" t="str">
        <f>HYPERLINK("http://www.epingalert.org/#/details/G/TBT/N/RWA/12")</f>
        <v>http://www.epingalert.org/#/details/G/TBT/N/RWA/12</v>
      </c>
      <c r="N671" s="2"/>
      <c r="O671" s="2"/>
    </row>
    <row r="672" spans="1:15" ht="285" outlineLevel="1" x14ac:dyDescent="0.25">
      <c r="A672" s="2" t="s">
        <v>1401</v>
      </c>
      <c r="B672" s="4" t="s">
        <v>1416</v>
      </c>
      <c r="C672" s="2" t="s">
        <v>1403</v>
      </c>
      <c r="D672" s="2" t="s">
        <v>1417</v>
      </c>
      <c r="E672" s="3">
        <v>41668</v>
      </c>
      <c r="F672" s="2" t="s">
        <v>1418</v>
      </c>
      <c r="G672" s="2"/>
      <c r="H672" s="2" t="s">
        <v>24</v>
      </c>
      <c r="I672" s="2"/>
      <c r="J672" s="2" t="str">
        <f>HYPERLINK("https://docs.wto.org/imrd/directdoc.asp?DDFDocuments/t/G/TBTN14/RWA9.DOC")</f>
        <v>https://docs.wto.org/imrd/directdoc.asp?DDFDocuments/t/G/TBTN14/RWA9.DOC</v>
      </c>
      <c r="K672" s="2" t="str">
        <f>HYPERLINK("https://docs.wto.org/imrd/directdoc.asp?DDFDocuments/u/G/TBTN14/RWA9.DOC")</f>
        <v>https://docs.wto.org/imrd/directdoc.asp?DDFDocuments/u/G/TBTN14/RWA9.DOC</v>
      </c>
      <c r="L672" s="2" t="str">
        <f>HYPERLINK("https://docs.wto.org/imrd/directdoc.asp?DDFDocuments/v/G/TBTN14/RWA9.DOC")</f>
        <v>https://docs.wto.org/imrd/directdoc.asp?DDFDocuments/v/G/TBTN14/RWA9.DOC</v>
      </c>
      <c r="M672" s="2" t="str">
        <f>HYPERLINK("http://www.epingalert.org/#/details/G/TBT/N/RWA/9")</f>
        <v>http://www.epingalert.org/#/details/G/TBT/N/RWA/9</v>
      </c>
      <c r="N672" s="2"/>
      <c r="O672" s="2" t="s">
        <v>8875</v>
      </c>
    </row>
    <row r="673" spans="1:15" ht="120" outlineLevel="1" x14ac:dyDescent="0.25">
      <c r="A673" s="2" t="s">
        <v>12</v>
      </c>
      <c r="B673" s="4" t="s">
        <v>1419</v>
      </c>
      <c r="C673" s="2" t="s">
        <v>1420</v>
      </c>
      <c r="D673" s="2" t="s">
        <v>1421</v>
      </c>
      <c r="E673" s="3">
        <v>41667</v>
      </c>
      <c r="F673" s="2" t="s">
        <v>1422</v>
      </c>
      <c r="G673" s="2"/>
      <c r="H673" s="2" t="s">
        <v>988</v>
      </c>
      <c r="I673" s="3">
        <v>41727</v>
      </c>
      <c r="J673" s="2" t="str">
        <f>HYPERLINK("https://docs.wto.org/imrd/directdoc.asp?DDFDocuments/t/G/TBTN14/EU178.DOC")</f>
        <v>https://docs.wto.org/imrd/directdoc.asp?DDFDocuments/t/G/TBTN14/EU178.DOC</v>
      </c>
      <c r="K673" s="2" t="str">
        <f>HYPERLINK("https://docs.wto.org/imrd/directdoc.asp?DDFDocuments/u/G/TBTN14/EU178.DOC")</f>
        <v>https://docs.wto.org/imrd/directdoc.asp?DDFDocuments/u/G/TBTN14/EU178.DOC</v>
      </c>
      <c r="L673" s="2" t="str">
        <f>HYPERLINK("https://docs.wto.org/imrd/directdoc.asp?DDFDocuments/v/G/TBTN14/EU178.DOC")</f>
        <v>https://docs.wto.org/imrd/directdoc.asp?DDFDocuments/v/G/TBTN14/EU178.DOC</v>
      </c>
      <c r="M673" s="2" t="str">
        <f>HYPERLINK("http://www.epingalert.org/#/details/G/TBT/N/EU/178")</f>
        <v>http://www.epingalert.org/#/details/G/TBT/N/EU/178</v>
      </c>
      <c r="N673" s="2"/>
      <c r="O673" s="2"/>
    </row>
    <row r="674" spans="1:15" ht="210" outlineLevel="1" x14ac:dyDescent="0.25">
      <c r="A674" s="2" t="s">
        <v>12</v>
      </c>
      <c r="B674" s="4" t="s">
        <v>1423</v>
      </c>
      <c r="C674" s="2" t="s">
        <v>1424</v>
      </c>
      <c r="D674" s="2" t="s">
        <v>1425</v>
      </c>
      <c r="E674" s="3">
        <v>41667</v>
      </c>
      <c r="F674" s="2" t="s">
        <v>1426</v>
      </c>
      <c r="G674" s="2"/>
      <c r="H674" s="2" t="s">
        <v>988</v>
      </c>
      <c r="I674" s="3">
        <v>41727</v>
      </c>
      <c r="J674" s="2" t="str">
        <f>HYPERLINK("https://docs.wto.org/imrd/directdoc.asp?DDFDocuments/t/G/TBTN14/EU177.DOC")</f>
        <v>https://docs.wto.org/imrd/directdoc.asp?DDFDocuments/t/G/TBTN14/EU177.DOC</v>
      </c>
      <c r="K674" s="2" t="str">
        <f>HYPERLINK("https://docs.wto.org/imrd/directdoc.asp?DDFDocuments/u/G/TBTN14/EU177.DOC")</f>
        <v>https://docs.wto.org/imrd/directdoc.asp?DDFDocuments/u/G/TBTN14/EU177.DOC</v>
      </c>
      <c r="L674" s="2" t="str">
        <f>HYPERLINK("https://docs.wto.org/imrd/directdoc.asp?DDFDocuments/v/G/TBTN14/EU177.DOC")</f>
        <v>https://docs.wto.org/imrd/directdoc.asp?DDFDocuments/v/G/TBTN14/EU177.DOC</v>
      </c>
      <c r="M674" s="2" t="str">
        <f>HYPERLINK("http://www.epingalert.org/#/details/G/TBT/N/EU/177")</f>
        <v>http://www.epingalert.org/#/details/G/TBT/N/EU/177</v>
      </c>
      <c r="N674" s="2"/>
      <c r="O674" s="2"/>
    </row>
    <row r="675" spans="1:15" ht="90" outlineLevel="1" x14ac:dyDescent="0.25">
      <c r="A675" s="2" t="s">
        <v>173</v>
      </c>
      <c r="B675" s="4" t="s">
        <v>1427</v>
      </c>
      <c r="C675" s="2" t="s">
        <v>1428</v>
      </c>
      <c r="D675" s="2" t="s">
        <v>1429</v>
      </c>
      <c r="E675" s="3">
        <v>41667</v>
      </c>
      <c r="F675" s="2" t="s">
        <v>1430</v>
      </c>
      <c r="G675" s="2"/>
      <c r="H675" s="2" t="s">
        <v>17</v>
      </c>
      <c r="I675" s="3">
        <v>41727</v>
      </c>
      <c r="J675" s="2" t="str">
        <f>HYPERLINK("https://docs.wto.org/imrd/directdoc.asp?DDFDocuments/t/G/TBTN14/SAU718.DOC")</f>
        <v>https://docs.wto.org/imrd/directdoc.asp?DDFDocuments/t/G/TBTN14/SAU718.DOC</v>
      </c>
      <c r="K675" s="2" t="str">
        <f>HYPERLINK("https://docs.wto.org/imrd/directdoc.asp?DDFDocuments/u/G/TBTN14/SAU718.DOC")</f>
        <v>https://docs.wto.org/imrd/directdoc.asp?DDFDocuments/u/G/TBTN14/SAU718.DOC</v>
      </c>
      <c r="L675" s="2" t="str">
        <f>HYPERLINK("https://docs.wto.org/imrd/directdoc.asp?DDFDocuments/v/G/TBTN14/SAU718.DOC")</f>
        <v>https://docs.wto.org/imrd/directdoc.asp?DDFDocuments/v/G/TBTN14/SAU718.DOC</v>
      </c>
      <c r="M675" s="2" t="str">
        <f>HYPERLINK("http://www.epingalert.org/#/details/G/TBT/N/SAU/718")</f>
        <v>http://www.epingalert.org/#/details/G/TBT/N/SAU/718</v>
      </c>
      <c r="N675" s="2"/>
      <c r="O675" s="2"/>
    </row>
    <row r="676" spans="1:15" ht="105" outlineLevel="1" x14ac:dyDescent="0.25">
      <c r="A676" s="2" t="s">
        <v>173</v>
      </c>
      <c r="B676" s="4" t="s">
        <v>1431</v>
      </c>
      <c r="C676" s="2" t="s">
        <v>1432</v>
      </c>
      <c r="D676" s="2" t="s">
        <v>841</v>
      </c>
      <c r="E676" s="3">
        <v>41667</v>
      </c>
      <c r="F676" s="2" t="s">
        <v>1433</v>
      </c>
      <c r="G676" s="2"/>
      <c r="H676" s="2" t="s">
        <v>17</v>
      </c>
      <c r="I676" s="3">
        <v>41727</v>
      </c>
      <c r="J676" s="2" t="str">
        <f>HYPERLINK("https://docs.wto.org/imrd/directdoc.asp?DDFDocuments/t/G/TBTN14/SAU717.DOC")</f>
        <v>https://docs.wto.org/imrd/directdoc.asp?DDFDocuments/t/G/TBTN14/SAU717.DOC</v>
      </c>
      <c r="K676" s="2" t="str">
        <f>HYPERLINK("https://docs.wto.org/imrd/directdoc.asp?DDFDocuments/u/G/TBTN14/SAU717.DOC")</f>
        <v>https://docs.wto.org/imrd/directdoc.asp?DDFDocuments/u/G/TBTN14/SAU717.DOC</v>
      </c>
      <c r="L676" s="2" t="str">
        <f>HYPERLINK("https://docs.wto.org/imrd/directdoc.asp?DDFDocuments/v/G/TBTN14/SAU717.DOC")</f>
        <v>https://docs.wto.org/imrd/directdoc.asp?DDFDocuments/v/G/TBTN14/SAU717.DOC</v>
      </c>
      <c r="M676" s="2" t="str">
        <f>HYPERLINK("http://www.epingalert.org/#/details/G/TBT/N/SAU/717")</f>
        <v>http://www.epingalert.org/#/details/G/TBT/N/SAU/717</v>
      </c>
      <c r="N676" s="2"/>
      <c r="O676" s="2"/>
    </row>
    <row r="677" spans="1:15" ht="120" outlineLevel="1" x14ac:dyDescent="0.25">
      <c r="A677" s="2" t="s">
        <v>42</v>
      </c>
      <c r="B677" s="4" t="s">
        <v>2392</v>
      </c>
      <c r="C677" s="2" t="s">
        <v>2393</v>
      </c>
      <c r="D677" s="2" t="s">
        <v>2394</v>
      </c>
      <c r="E677" s="3">
        <v>41662</v>
      </c>
      <c r="F677" s="2"/>
      <c r="G677" s="2" t="s">
        <v>2049</v>
      </c>
      <c r="H677" s="2" t="s">
        <v>699</v>
      </c>
      <c r="I677" s="3">
        <v>41683</v>
      </c>
      <c r="J677" s="2" t="str">
        <f>HYPERLINK("https://docs.wto.org/imrd/directdoc.asp?DDFDocuments/t/G/TBTN14/BRA573.DOC")</f>
        <v>https://docs.wto.org/imrd/directdoc.asp?DDFDocuments/t/G/TBTN14/BRA573.DOC</v>
      </c>
      <c r="K677" s="2" t="str">
        <f>HYPERLINK("https://docs.wto.org/imrd/directdoc.asp?DDFDocuments/u/G/TBTN14/BRA573.DOC")</f>
        <v>https://docs.wto.org/imrd/directdoc.asp?DDFDocuments/u/G/TBTN14/BRA573.DOC</v>
      </c>
      <c r="L677" s="2" t="str">
        <f>HYPERLINK("https://docs.wto.org/imrd/directdoc.asp?DDFDocuments/v/G/TBTN14/BRA573.DOC")</f>
        <v>https://docs.wto.org/imrd/directdoc.asp?DDFDocuments/v/G/TBTN14/BRA573.DOC</v>
      </c>
      <c r="M677" s="2" t="str">
        <f>HYPERLINK("http://www.epingalert.org/#/details/G/TBT/N/BRA/573")</f>
        <v>http://www.epingalert.org/#/details/G/TBT/N/BRA/573</v>
      </c>
      <c r="N677" s="2"/>
      <c r="O677" s="2"/>
    </row>
    <row r="678" spans="1:15" ht="165" outlineLevel="1" x14ac:dyDescent="0.25">
      <c r="A678" s="2" t="s">
        <v>25</v>
      </c>
      <c r="B678" s="4" t="s">
        <v>1443</v>
      </c>
      <c r="C678" s="2" t="s">
        <v>1444</v>
      </c>
      <c r="D678" s="2" t="s">
        <v>1445</v>
      </c>
      <c r="E678" s="3">
        <v>41653</v>
      </c>
      <c r="F678" s="2" t="s">
        <v>1446</v>
      </c>
      <c r="G678" s="2"/>
      <c r="H678" s="2" t="s">
        <v>82</v>
      </c>
      <c r="I678" s="3">
        <v>41713</v>
      </c>
      <c r="J678" s="2" t="str">
        <f>HYPERLINK("https://docs.wto.org/imrd/directdoc.asp?DDFDocuments/t/G/TBTN14/KOR465.DOC")</f>
        <v>https://docs.wto.org/imrd/directdoc.asp?DDFDocuments/t/G/TBTN14/KOR465.DOC</v>
      </c>
      <c r="K678" s="2" t="str">
        <f>HYPERLINK("https://docs.wto.org/imrd/directdoc.asp?DDFDocuments/u/G/TBTN14/KOR465.DOC")</f>
        <v>https://docs.wto.org/imrd/directdoc.asp?DDFDocuments/u/G/TBTN14/KOR465.DOC</v>
      </c>
      <c r="L678" s="2" t="str">
        <f>HYPERLINK("https://docs.wto.org/imrd/directdoc.asp?DDFDocuments/v/G/TBTN14/KOR465.DOC")</f>
        <v>https://docs.wto.org/imrd/directdoc.asp?DDFDocuments/v/G/TBTN14/KOR465.DOC</v>
      </c>
      <c r="M678" s="2" t="str">
        <f>HYPERLINK("http://www.epingalert.org/#/details/G/TBT/N/KOR/465")</f>
        <v>http://www.epingalert.org/#/details/G/TBT/N/KOR/465</v>
      </c>
      <c r="N678" s="2"/>
      <c r="O678" s="2"/>
    </row>
    <row r="679" spans="1:15" ht="60" outlineLevel="1" x14ac:dyDescent="0.25">
      <c r="A679" s="2" t="s">
        <v>1129</v>
      </c>
      <c r="B679" s="4" t="s">
        <v>2395</v>
      </c>
      <c r="C679" s="2" t="s">
        <v>2396</v>
      </c>
      <c r="D679" s="2" t="s">
        <v>2397</v>
      </c>
      <c r="E679" s="3">
        <v>41653</v>
      </c>
      <c r="F679" s="2" t="s">
        <v>2398</v>
      </c>
      <c r="G679" s="2" t="s">
        <v>2399</v>
      </c>
      <c r="H679" s="2" t="s">
        <v>24</v>
      </c>
      <c r="I679" s="3">
        <v>41713</v>
      </c>
      <c r="J679" s="2" t="str">
        <f>HYPERLINK("https://docs.wto.org/imrd/directdoc.asp?DDFDocuments/t/G/TBTN14/KEN400.DOC")</f>
        <v>https://docs.wto.org/imrd/directdoc.asp?DDFDocuments/t/G/TBTN14/KEN400.DOC</v>
      </c>
      <c r="K679" s="2" t="str">
        <f>HYPERLINK("https://docs.wto.org/imrd/directdoc.asp?DDFDocuments/u/G/TBTN14/KEN400.DOC")</f>
        <v>https://docs.wto.org/imrd/directdoc.asp?DDFDocuments/u/G/TBTN14/KEN400.DOC</v>
      </c>
      <c r="L679" s="2" t="str">
        <f>HYPERLINK("https://docs.wto.org/imrd/directdoc.asp?DDFDocuments/v/G/TBTN14/KEN400.DOC")</f>
        <v>https://docs.wto.org/imrd/directdoc.asp?DDFDocuments/v/G/TBTN14/KEN400.DOC</v>
      </c>
      <c r="M679" s="2" t="str">
        <f>HYPERLINK("http://www.epingalert.org/#/details/G/TBT/N/KEN/400")</f>
        <v>http://www.epingalert.org/#/details/G/TBT/N/KEN/400</v>
      </c>
      <c r="N679" s="2"/>
      <c r="O679" s="2"/>
    </row>
    <row r="680" spans="1:15" ht="135" outlineLevel="1" x14ac:dyDescent="0.25">
      <c r="A680" s="2" t="s">
        <v>98</v>
      </c>
      <c r="B680" s="4" t="s">
        <v>1434</v>
      </c>
      <c r="C680" s="2" t="s">
        <v>1435</v>
      </c>
      <c r="D680" s="2" t="s">
        <v>1436</v>
      </c>
      <c r="E680" s="3">
        <v>41653</v>
      </c>
      <c r="F680" s="2" t="s">
        <v>1437</v>
      </c>
      <c r="G680" s="2" t="s">
        <v>1005</v>
      </c>
      <c r="H680" s="2" t="s">
        <v>915</v>
      </c>
      <c r="I680" s="3">
        <v>41639</v>
      </c>
      <c r="J680" s="2" t="str">
        <f>HYPERLINK("https://docs.wto.org/imrd/directdoc.asp?DDFDocuments/t/G/TBTN08/ZAF86R1.DOC")</f>
        <v>https://docs.wto.org/imrd/directdoc.asp?DDFDocuments/t/G/TBTN08/ZAF86R1.DOC</v>
      </c>
      <c r="K680" s="2" t="str">
        <f>HYPERLINK("https://docs.wto.org/imrd/directdoc.asp?DDFDocuments/u/G/TBTN08/ZAF86R1.DOC")</f>
        <v>https://docs.wto.org/imrd/directdoc.asp?DDFDocuments/u/G/TBTN08/ZAF86R1.DOC</v>
      </c>
      <c r="L680" s="2" t="str">
        <f>HYPERLINK("https://docs.wto.org/imrd/directdoc.asp?DDFDocuments/v/G/TBTN08/ZAF86R1.DOC")</f>
        <v>https://docs.wto.org/imrd/directdoc.asp?DDFDocuments/v/G/TBTN08/ZAF86R1.DOC</v>
      </c>
      <c r="M680" s="2" t="str">
        <f>HYPERLINK("http://www.epingalert.org/#/details/G/TBT/N/ZAF/86/Rev.1")</f>
        <v>http://www.epingalert.org/#/details/G/TBT/N/ZAF/86/Rev.1</v>
      </c>
      <c r="N680" s="2"/>
      <c r="O680" s="2"/>
    </row>
    <row r="681" spans="1:15" ht="135" outlineLevel="1" x14ac:dyDescent="0.25">
      <c r="A681" s="2" t="s">
        <v>98</v>
      </c>
      <c r="B681" s="4" t="s">
        <v>1438</v>
      </c>
      <c r="C681" s="2" t="s">
        <v>1439</v>
      </c>
      <c r="D681" s="2" t="s">
        <v>1440</v>
      </c>
      <c r="E681" s="3">
        <v>41653</v>
      </c>
      <c r="F681" s="2" t="s">
        <v>1441</v>
      </c>
      <c r="G681" s="2" t="s">
        <v>1442</v>
      </c>
      <c r="H681" s="2" t="s">
        <v>82</v>
      </c>
      <c r="I681" s="3">
        <v>41639</v>
      </c>
      <c r="J681" s="2" t="str">
        <f>HYPERLINK("https://docs.wto.org/imrd/directdoc.asp?DDFDocuments/t/G/TBTN08/ZAF85R1.DOC")</f>
        <v>https://docs.wto.org/imrd/directdoc.asp?DDFDocuments/t/G/TBTN08/ZAF85R1.DOC</v>
      </c>
      <c r="K681" s="2" t="str">
        <f>HYPERLINK("https://docs.wto.org/imrd/directdoc.asp?DDFDocuments/u/G/TBTN08/ZAF85R1.DOC")</f>
        <v>https://docs.wto.org/imrd/directdoc.asp?DDFDocuments/u/G/TBTN08/ZAF85R1.DOC</v>
      </c>
      <c r="L681" s="2" t="str">
        <f>HYPERLINK("https://docs.wto.org/imrd/directdoc.asp?DDFDocuments/v/G/TBTN08/ZAF85R1.DOC")</f>
        <v>https://docs.wto.org/imrd/directdoc.asp?DDFDocuments/v/G/TBTN08/ZAF85R1.DOC</v>
      </c>
      <c r="M681" s="2" t="str">
        <f>HYPERLINK("http://www.epingalert.org/#/details/G/TBT/N/ZAF/85/Rev.1")</f>
        <v>http://www.epingalert.org/#/details/G/TBT/N/ZAF/85/Rev.1</v>
      </c>
      <c r="N681" s="2"/>
      <c r="O681" s="2"/>
    </row>
    <row r="682" spans="1:15" ht="75" outlineLevel="1" x14ac:dyDescent="0.25">
      <c r="A682" s="2" t="s">
        <v>42</v>
      </c>
      <c r="B682" s="4" t="s">
        <v>2400</v>
      </c>
      <c r="C682" s="2" t="s">
        <v>2401</v>
      </c>
      <c r="D682" s="2" t="s">
        <v>2402</v>
      </c>
      <c r="E682" s="3">
        <v>41648</v>
      </c>
      <c r="F682" s="2" t="s">
        <v>2403</v>
      </c>
      <c r="G682" s="2" t="s">
        <v>2404</v>
      </c>
      <c r="H682" s="2" t="s">
        <v>17</v>
      </c>
      <c r="I682" s="3">
        <v>41709</v>
      </c>
      <c r="J682" s="2" t="str">
        <f>HYPERLINK("https://docs.wto.org/imrd/directdoc.asp?DDFDocuments/t/G/TBTN14/BRA571.DOC")</f>
        <v>https://docs.wto.org/imrd/directdoc.asp?DDFDocuments/t/G/TBTN14/BRA571.DOC</v>
      </c>
      <c r="K682" s="2" t="str">
        <f>HYPERLINK("https://docs.wto.org/imrd/directdoc.asp?DDFDocuments/u/G/TBTN14/BRA571.DOC")</f>
        <v>https://docs.wto.org/imrd/directdoc.asp?DDFDocuments/u/G/TBTN14/BRA571.DOC</v>
      </c>
      <c r="L682" s="2" t="str">
        <f>HYPERLINK("https://docs.wto.org/imrd/directdoc.asp?DDFDocuments/v/G/TBTN14/BRA571.DOC")</f>
        <v>https://docs.wto.org/imrd/directdoc.asp?DDFDocuments/v/G/TBTN14/BRA571.DOC</v>
      </c>
      <c r="M682" s="2" t="str">
        <f>HYPERLINK("http://www.epingalert.org/#/details/G/TBT/N/BRA/571")</f>
        <v>http://www.epingalert.org/#/details/G/TBT/N/BRA/571</v>
      </c>
      <c r="N682" s="2"/>
      <c r="O682" s="2"/>
    </row>
    <row r="683" spans="1:15" ht="135" outlineLevel="1" x14ac:dyDescent="0.25">
      <c r="A683" s="2" t="s">
        <v>77</v>
      </c>
      <c r="B683" s="4" t="s">
        <v>1615</v>
      </c>
      <c r="C683" s="2" t="s">
        <v>1616</v>
      </c>
      <c r="D683" s="2" t="s">
        <v>1617</v>
      </c>
      <c r="E683" s="3">
        <v>41646</v>
      </c>
      <c r="F683" s="2" t="s">
        <v>1618</v>
      </c>
      <c r="G683" s="2"/>
      <c r="H683" s="2" t="s">
        <v>82</v>
      </c>
      <c r="I683" s="2"/>
      <c r="J683" s="2" t="str">
        <f>HYPERLINK("https://docs.wto.org/imrd/directdoc.asp?DDFDocuments/t/G/TBTN14/TPKM154.DOC")</f>
        <v>https://docs.wto.org/imrd/directdoc.asp?DDFDocuments/t/G/TBTN14/TPKM154.DOC</v>
      </c>
      <c r="K683" s="2" t="str">
        <f>HYPERLINK("https://docs.wto.org/imrd/directdoc.asp?DDFDocuments/u/G/TBTN14/TPKM154.DOC")</f>
        <v>https://docs.wto.org/imrd/directdoc.asp?DDFDocuments/u/G/TBTN14/TPKM154.DOC</v>
      </c>
      <c r="L683" s="2" t="str">
        <f>HYPERLINK("https://docs.wto.org/imrd/directdoc.asp?DDFDocuments/v/G/TBTN14/TPKM154.DOC")</f>
        <v>https://docs.wto.org/imrd/directdoc.asp?DDFDocuments/v/G/TBTN14/TPKM154.DOC</v>
      </c>
      <c r="M683" s="2" t="str">
        <f>HYPERLINK("http://www.epingalert.org/#/details/G/TBT/N/TPKM/154")</f>
        <v>http://www.epingalert.org/#/details/G/TBT/N/TPKM/154</v>
      </c>
      <c r="N683" s="2"/>
      <c r="O683" s="2"/>
    </row>
    <row r="684" spans="1:15" ht="90" outlineLevel="1" x14ac:dyDescent="0.25">
      <c r="A684" s="2" t="s">
        <v>173</v>
      </c>
      <c r="B684" s="4" t="s">
        <v>1447</v>
      </c>
      <c r="C684" s="2" t="s">
        <v>1448</v>
      </c>
      <c r="D684" s="2" t="s">
        <v>1449</v>
      </c>
      <c r="E684" s="3">
        <v>41626</v>
      </c>
      <c r="F684" s="2" t="s">
        <v>1450</v>
      </c>
      <c r="G684" s="2"/>
      <c r="H684" s="2" t="s">
        <v>17</v>
      </c>
      <c r="I684" s="3">
        <v>41686</v>
      </c>
      <c r="J684" s="2" t="str">
        <f>HYPERLINK("https://docs.wto.org/imrd/directdoc.asp?DDFDocuments/t/G/TBTN13/SAU684.DOC")</f>
        <v>https://docs.wto.org/imrd/directdoc.asp?DDFDocuments/t/G/TBTN13/SAU684.DOC</v>
      </c>
      <c r="K684" s="2" t="str">
        <f>HYPERLINK("https://docs.wto.org/imrd/directdoc.asp?DDFDocuments/u/G/TBTN13/SAU684.DOC")</f>
        <v>https://docs.wto.org/imrd/directdoc.asp?DDFDocuments/u/G/TBTN13/SAU684.DOC</v>
      </c>
      <c r="L684" s="2" t="str">
        <f>HYPERLINK("https://docs.wto.org/imrd/directdoc.asp?DDFDocuments/v/G/TBTN13/SAU684.DOC")</f>
        <v>https://docs.wto.org/imrd/directdoc.asp?DDFDocuments/v/G/TBTN13/SAU684.DOC</v>
      </c>
      <c r="M684" s="2" t="str">
        <f>HYPERLINK("http://www.epingalert.org/#/details/G/TBT/N/SAU/684")</f>
        <v>http://www.epingalert.org/#/details/G/TBT/N/SAU/684</v>
      </c>
      <c r="N684" s="2"/>
      <c r="O684" s="2"/>
    </row>
    <row r="685" spans="1:15" ht="180" outlineLevel="1" x14ac:dyDescent="0.25">
      <c r="A685" s="2" t="s">
        <v>1198</v>
      </c>
      <c r="B685" s="4" t="s">
        <v>1459</v>
      </c>
      <c r="C685" s="2" t="s">
        <v>1460</v>
      </c>
      <c r="D685" s="2" t="s">
        <v>1461</v>
      </c>
      <c r="E685" s="3">
        <v>41624</v>
      </c>
      <c r="F685" s="2" t="s">
        <v>1462</v>
      </c>
      <c r="G685" s="2" t="s">
        <v>1463</v>
      </c>
      <c r="H685" s="2" t="s">
        <v>30</v>
      </c>
      <c r="I685" s="3">
        <v>41709</v>
      </c>
      <c r="J685" s="2" t="str">
        <f>HYPERLINK("https://docs.wto.org/imrd/directdoc.asp?DDFDocuments/t/G/TBTN13/ECU127.DOC")</f>
        <v>https://docs.wto.org/imrd/directdoc.asp?DDFDocuments/t/G/TBTN13/ECU127.DOC</v>
      </c>
      <c r="K685" s="2" t="str">
        <f>HYPERLINK("https://docs.wto.org/imrd/directdoc.asp?DDFDocuments/u/G/TBTN13/ECU127.DOC")</f>
        <v>https://docs.wto.org/imrd/directdoc.asp?DDFDocuments/u/G/TBTN13/ECU127.DOC</v>
      </c>
      <c r="L685" s="2" t="str">
        <f>HYPERLINK("https://docs.wto.org/imrd/directdoc.asp?DDFDocuments/v/G/TBTN13/ECU127.DOC")</f>
        <v>https://docs.wto.org/imrd/directdoc.asp?DDFDocuments/v/G/TBTN13/ECU127.DOC</v>
      </c>
      <c r="M685" s="2" t="str">
        <f>HYPERLINK("http://www.epingalert.org/#/details/G/TBT/N/ECU/127")</f>
        <v>http://www.epingalert.org/#/details/G/TBT/N/ECU/127</v>
      </c>
      <c r="N685" s="2"/>
      <c r="O685" s="2"/>
    </row>
    <row r="686" spans="1:15" ht="90" outlineLevel="1" x14ac:dyDescent="0.25">
      <c r="A686" s="2" t="s">
        <v>1198</v>
      </c>
      <c r="B686" s="4" t="s">
        <v>2410</v>
      </c>
      <c r="C686" s="2"/>
      <c r="D686" s="2"/>
      <c r="E686" s="3">
        <v>41624</v>
      </c>
      <c r="F686" s="2" t="s">
        <v>2411</v>
      </c>
      <c r="G686" s="2" t="s">
        <v>2412</v>
      </c>
      <c r="H686" s="2" t="s">
        <v>30</v>
      </c>
      <c r="I686" s="3">
        <v>41709</v>
      </c>
      <c r="J686" s="2" t="str">
        <f>HYPERLINK("https://docs.wto.org/imrd/directdoc.asp?DDFDocuments/t/G/TBTN13/ECU128.DOC")</f>
        <v>https://docs.wto.org/imrd/directdoc.asp?DDFDocuments/t/G/TBTN13/ECU128.DOC</v>
      </c>
      <c r="K686" s="2" t="str">
        <f>HYPERLINK("https://docs.wto.org/imrd/directdoc.asp?DDFDocuments/u/G/TBTN13/ECU128.DOC")</f>
        <v>https://docs.wto.org/imrd/directdoc.asp?DDFDocuments/u/G/TBTN13/ECU128.DOC</v>
      </c>
      <c r="L686" s="2" t="str">
        <f>HYPERLINK("https://docs.wto.org/imrd/directdoc.asp?DDFDocuments/v/G/TBTN13/ECU128.DOC")</f>
        <v>https://docs.wto.org/imrd/directdoc.asp?DDFDocuments/v/G/TBTN13/ECU128.DOC</v>
      </c>
      <c r="M686" s="2" t="str">
        <f>HYPERLINK("http://www.epingalert.org/#/details/G/TBT/N/ECU/128")</f>
        <v>http://www.epingalert.org/#/details/G/TBT/N/ECU/128</v>
      </c>
      <c r="N686" s="2"/>
      <c r="O686" s="2"/>
    </row>
    <row r="687" spans="1:15" ht="75" outlineLevel="1" x14ac:dyDescent="0.25">
      <c r="A687" s="2" t="s">
        <v>184</v>
      </c>
      <c r="B687" s="4" t="s">
        <v>1451</v>
      </c>
      <c r="C687" s="2" t="s">
        <v>1452</v>
      </c>
      <c r="D687" s="2" t="s">
        <v>1453</v>
      </c>
      <c r="E687" s="3">
        <v>41624</v>
      </c>
      <c r="F687" s="2" t="s">
        <v>1454</v>
      </c>
      <c r="G687" s="2"/>
      <c r="H687" s="2" t="s">
        <v>82</v>
      </c>
      <c r="I687" s="3">
        <v>41684</v>
      </c>
      <c r="J687" s="2" t="str">
        <f>HYPERLINK("https://docs.wto.org/imrd/directdoc.asp?DDFDocuments/t/G/TBTN13/ARE181.DOC")</f>
        <v>https://docs.wto.org/imrd/directdoc.asp?DDFDocuments/t/G/TBTN13/ARE181.DOC</v>
      </c>
      <c r="K687" s="2" t="str">
        <f>HYPERLINK("https://docs.wto.org/imrd/directdoc.asp?DDFDocuments/u/G/TBTN13/ARE181.DOC")</f>
        <v>https://docs.wto.org/imrd/directdoc.asp?DDFDocuments/u/G/TBTN13/ARE181.DOC</v>
      </c>
      <c r="L687" s="2" t="str">
        <f>HYPERLINK("https://docs.wto.org/imrd/directdoc.asp?DDFDocuments/v/G/TBTN13/ARE181.DOC")</f>
        <v>https://docs.wto.org/imrd/directdoc.asp?DDFDocuments/v/G/TBTN13/ARE181.DOC</v>
      </c>
      <c r="M687" s="2" t="str">
        <f>HYPERLINK("http://www.epingalert.org/#/details/G/TBT/N/ARE/181")</f>
        <v>http://www.epingalert.org/#/details/G/TBT/N/ARE/181</v>
      </c>
      <c r="N687" s="2"/>
      <c r="O687" s="2"/>
    </row>
    <row r="688" spans="1:15" ht="90" outlineLevel="1" x14ac:dyDescent="0.25">
      <c r="A688" s="2" t="s">
        <v>115</v>
      </c>
      <c r="B688" s="4" t="s">
        <v>1455</v>
      </c>
      <c r="C688" s="2" t="s">
        <v>1456</v>
      </c>
      <c r="D688" s="2" t="s">
        <v>1457</v>
      </c>
      <c r="E688" s="3">
        <v>41624</v>
      </c>
      <c r="F688" s="2" t="s">
        <v>1458</v>
      </c>
      <c r="G688" s="2"/>
      <c r="H688" s="2" t="s">
        <v>24</v>
      </c>
      <c r="I688" s="3">
        <v>41684</v>
      </c>
      <c r="J688" s="2" t="str">
        <f>HYPERLINK("https://docs.wto.org/imrd/directdoc.asp?DDFDocuments/t/G/TBTN13/JPN448.DOC")</f>
        <v>https://docs.wto.org/imrd/directdoc.asp?DDFDocuments/t/G/TBTN13/JPN448.DOC</v>
      </c>
      <c r="K688" s="2" t="str">
        <f>HYPERLINK("https://docs.wto.org/imrd/directdoc.asp?DDFDocuments/u/G/TBTN13/JPN448.DOC")</f>
        <v>https://docs.wto.org/imrd/directdoc.asp?DDFDocuments/u/G/TBTN13/JPN448.DOC</v>
      </c>
      <c r="L688" s="2" t="str">
        <f>HYPERLINK("https://docs.wto.org/imrd/directdoc.asp?DDFDocuments/v/G/TBTN13/JPN448.DOC")</f>
        <v>https://docs.wto.org/imrd/directdoc.asp?DDFDocuments/v/G/TBTN13/JPN448.DOC</v>
      </c>
      <c r="M688" s="2" t="str">
        <f>HYPERLINK("http://www.epingalert.org/#/details/G/TBT/N/JPN/448")</f>
        <v>http://www.epingalert.org/#/details/G/TBT/N/JPN/448</v>
      </c>
      <c r="N688" s="2"/>
      <c r="O688" s="2"/>
    </row>
    <row r="689" spans="1:15" ht="285" outlineLevel="1" x14ac:dyDescent="0.25">
      <c r="A689" s="2" t="s">
        <v>47</v>
      </c>
      <c r="B689" s="4" t="s">
        <v>2405</v>
      </c>
      <c r="C689" s="2" t="s">
        <v>2406</v>
      </c>
      <c r="D689" s="2" t="s">
        <v>2407</v>
      </c>
      <c r="E689" s="3">
        <v>41624</v>
      </c>
      <c r="F689" s="2" t="s">
        <v>2408</v>
      </c>
      <c r="G689" s="2" t="s">
        <v>2409</v>
      </c>
      <c r="H689" s="2" t="s">
        <v>30</v>
      </c>
      <c r="I689" s="3">
        <v>41684</v>
      </c>
      <c r="J689" s="2" t="str">
        <f>HYPERLINK("https://docs.wto.org/imrd/directdoc.asp?DDFDocuments/t/G/TBTN13/ISR728.DOC")</f>
        <v>https://docs.wto.org/imrd/directdoc.asp?DDFDocuments/t/G/TBTN13/ISR728.DOC</v>
      </c>
      <c r="K689" s="2" t="str">
        <f>HYPERLINK("https://docs.wto.org/imrd/directdoc.asp?DDFDocuments/u/G/TBTN13/ISR728.DOC")</f>
        <v>https://docs.wto.org/imrd/directdoc.asp?DDFDocuments/u/G/TBTN13/ISR728.DOC</v>
      </c>
      <c r="L689" s="2" t="str">
        <f>HYPERLINK("https://docs.wto.org/imrd/directdoc.asp?DDFDocuments/v/G/TBTN13/ISR728.DOC")</f>
        <v>https://docs.wto.org/imrd/directdoc.asp?DDFDocuments/v/G/TBTN13/ISR728.DOC</v>
      </c>
      <c r="M689" s="2" t="str">
        <f>HYPERLINK("http://www.epingalert.org/#/details/G/TBT/N/ISR/728")</f>
        <v>http://www.epingalert.org/#/details/G/TBT/N/ISR/728</v>
      </c>
      <c r="N689" s="2"/>
      <c r="O689" s="2" t="s">
        <v>8874</v>
      </c>
    </row>
    <row r="690" spans="1:15" ht="150" outlineLevel="1" x14ac:dyDescent="0.25">
      <c r="A690" s="2" t="s">
        <v>77</v>
      </c>
      <c r="B690" s="4" t="s">
        <v>1464</v>
      </c>
      <c r="C690" s="2" t="s">
        <v>1465</v>
      </c>
      <c r="D690" s="2" t="s">
        <v>1466</v>
      </c>
      <c r="E690" s="3">
        <v>41624</v>
      </c>
      <c r="F690" s="2" t="s">
        <v>1467</v>
      </c>
      <c r="G690" s="2"/>
      <c r="H690" s="2" t="s">
        <v>17</v>
      </c>
      <c r="I690" s="3">
        <v>41619</v>
      </c>
      <c r="J690" s="2" t="str">
        <f>HYPERLINK("https://docs.wto.org/imrd/directdoc.asp?DDFDocuments/t/G/TBTN13/TPKM153.DOC")</f>
        <v>https://docs.wto.org/imrd/directdoc.asp?DDFDocuments/t/G/TBTN13/TPKM153.DOC</v>
      </c>
      <c r="K690" s="2" t="str">
        <f>HYPERLINK("https://docs.wto.org/imrd/directdoc.asp?DDFDocuments/u/G/TBTN13/TPKM153.DOC")</f>
        <v>https://docs.wto.org/imrd/directdoc.asp?DDFDocuments/u/G/TBTN13/TPKM153.DOC</v>
      </c>
      <c r="L690" s="2" t="str">
        <f>HYPERLINK("https://docs.wto.org/imrd/directdoc.asp?DDFDocuments/v/G/TBTN13/TPKM153.DOC")</f>
        <v>https://docs.wto.org/imrd/directdoc.asp?DDFDocuments/v/G/TBTN13/TPKM153.DOC</v>
      </c>
      <c r="M690" s="2" t="str">
        <f>HYPERLINK("http://www.epingalert.org/#/details/G/TBT/N/TPKM/153")</f>
        <v>http://www.epingalert.org/#/details/G/TBT/N/TPKM/153</v>
      </c>
      <c r="N690" s="2"/>
      <c r="O690" s="2"/>
    </row>
    <row r="691" spans="1:15" ht="90" outlineLevel="1" x14ac:dyDescent="0.25">
      <c r="A691" s="2" t="s">
        <v>1198</v>
      </c>
      <c r="B691" s="4" t="s">
        <v>2413</v>
      </c>
      <c r="C691" s="2"/>
      <c r="D691" s="2"/>
      <c r="E691" s="3">
        <v>41624</v>
      </c>
      <c r="F691" s="2" t="s">
        <v>2414</v>
      </c>
      <c r="G691" s="2" t="s">
        <v>2415</v>
      </c>
      <c r="H691" s="2" t="s">
        <v>30</v>
      </c>
      <c r="I691" s="3">
        <v>41344</v>
      </c>
      <c r="J691" s="2" t="str">
        <f>HYPERLINK("https://docs.wto.org/imrd/directdoc.asp?DDFDocuments/t/G/TBTN13/ECU123.DOC")</f>
        <v>https://docs.wto.org/imrd/directdoc.asp?DDFDocuments/t/G/TBTN13/ECU123.DOC</v>
      </c>
      <c r="K691" s="2" t="str">
        <f>HYPERLINK("https://docs.wto.org/imrd/directdoc.asp?DDFDocuments/u/G/TBTN13/ECU123.DOC")</f>
        <v>https://docs.wto.org/imrd/directdoc.asp?DDFDocuments/u/G/TBTN13/ECU123.DOC</v>
      </c>
      <c r="L691" s="2" t="str">
        <f>HYPERLINK("https://docs.wto.org/imrd/directdoc.asp?DDFDocuments/v/G/TBTN13/ECU123.DOC")</f>
        <v>https://docs.wto.org/imrd/directdoc.asp?DDFDocuments/v/G/TBTN13/ECU123.DOC</v>
      </c>
      <c r="M691" s="2" t="str">
        <f>HYPERLINK("http://www.epingalert.org/#/details/G/TBT/N/ECU/123")</f>
        <v>http://www.epingalert.org/#/details/G/TBT/N/ECU/123</v>
      </c>
      <c r="N691" s="2"/>
      <c r="O691" s="2"/>
    </row>
    <row r="692" spans="1:15" ht="195" outlineLevel="1" x14ac:dyDescent="0.25">
      <c r="A692" s="2" t="s">
        <v>12</v>
      </c>
      <c r="B692" s="4" t="s">
        <v>1468</v>
      </c>
      <c r="C692" s="2" t="s">
        <v>1469</v>
      </c>
      <c r="D692" s="2" t="s">
        <v>1470</v>
      </c>
      <c r="E692" s="3">
        <v>41621</v>
      </c>
      <c r="F692" s="2" t="s">
        <v>86</v>
      </c>
      <c r="G692" s="2"/>
      <c r="H692" s="2" t="s">
        <v>17</v>
      </c>
      <c r="I692" s="3">
        <v>41681</v>
      </c>
      <c r="J692" s="2" t="str">
        <f>HYPERLINK("https://docs.wto.org/imrd/directdoc.asp?DDFDocuments/t/G/TBTN13/EU171.DOC")</f>
        <v>https://docs.wto.org/imrd/directdoc.asp?DDFDocuments/t/G/TBTN13/EU171.DOC</v>
      </c>
      <c r="K692" s="2" t="str">
        <f>HYPERLINK("https://docs.wto.org/imrd/directdoc.asp?DDFDocuments/u/G/TBTN13/EU171.DOC")</f>
        <v>https://docs.wto.org/imrd/directdoc.asp?DDFDocuments/u/G/TBTN13/EU171.DOC</v>
      </c>
      <c r="L692" s="2" t="str">
        <f>HYPERLINK("https://docs.wto.org/imrd/directdoc.asp?DDFDocuments/v/G/TBTN13/EU171.DOC")</f>
        <v>https://docs.wto.org/imrd/directdoc.asp?DDFDocuments/v/G/TBTN13/EU171.DOC</v>
      </c>
      <c r="M692" s="2" t="str">
        <f>HYPERLINK("http://www.epingalert.org/#/details/G/TBT/N/EU/171")</f>
        <v>http://www.epingalert.org/#/details/G/TBT/N/EU/171</v>
      </c>
      <c r="N692" s="2"/>
      <c r="O692" s="2"/>
    </row>
    <row r="693" spans="1:15" ht="105" outlineLevel="1" x14ac:dyDescent="0.25">
      <c r="A693" s="2" t="s">
        <v>184</v>
      </c>
      <c r="B693" s="4" t="s">
        <v>1471</v>
      </c>
      <c r="C693" s="2" t="s">
        <v>1472</v>
      </c>
      <c r="D693" s="2" t="s">
        <v>1473</v>
      </c>
      <c r="E693" s="3">
        <v>41619</v>
      </c>
      <c r="F693" s="2" t="s">
        <v>1474</v>
      </c>
      <c r="G693" s="2" t="s">
        <v>23</v>
      </c>
      <c r="H693" s="2" t="s">
        <v>17</v>
      </c>
      <c r="I693" s="3">
        <v>41679</v>
      </c>
      <c r="J693" s="2" t="str">
        <f>HYPERLINK("https://docs.wto.org/imrd/directdoc.asp?DDFDocuments/t/G/TBTN13/ARE180.DOC")</f>
        <v>https://docs.wto.org/imrd/directdoc.asp?DDFDocuments/t/G/TBTN13/ARE180.DOC</v>
      </c>
      <c r="K693" s="2" t="str">
        <f>HYPERLINK("https://docs.wto.org/imrd/directdoc.asp?DDFDocuments/u/G/TBTN13/ARE180.DOC")</f>
        <v>https://docs.wto.org/imrd/directdoc.asp?DDFDocuments/u/G/TBTN13/ARE180.DOC</v>
      </c>
      <c r="L693" s="2" t="str">
        <f>HYPERLINK("https://docs.wto.org/imrd/directdoc.asp?DDFDocuments/v/G/TBTN13/ARE180.DOC")</f>
        <v>https://docs.wto.org/imrd/directdoc.asp?DDFDocuments/v/G/TBTN13/ARE180.DOC</v>
      </c>
      <c r="M693" s="2" t="str">
        <f>HYPERLINK("http://www.epingalert.org/#/details/G/TBT/N/ARE/180")</f>
        <v>http://www.epingalert.org/#/details/G/TBT/N/ARE/180</v>
      </c>
      <c r="N693" s="2"/>
      <c r="O693" s="2"/>
    </row>
    <row r="694" spans="1:15" ht="285" outlineLevel="1" x14ac:dyDescent="0.25">
      <c r="A694" s="2" t="s">
        <v>1619</v>
      </c>
      <c r="B694" s="4" t="s">
        <v>1620</v>
      </c>
      <c r="C694" s="2" t="s">
        <v>1621</v>
      </c>
      <c r="D694" s="2" t="s">
        <v>1622</v>
      </c>
      <c r="E694" s="3">
        <v>41619</v>
      </c>
      <c r="F694" s="2" t="s">
        <v>1623</v>
      </c>
      <c r="G694" s="2"/>
      <c r="H694" s="2" t="s">
        <v>988</v>
      </c>
      <c r="I694" s="3">
        <v>41679</v>
      </c>
      <c r="J694" s="2" t="str">
        <f>HYPERLINK("https://docs.wto.org/imrd/directdoc.asp?DDFDocuments/t/G/TBTN13/LTU22.DOC")</f>
        <v>https://docs.wto.org/imrd/directdoc.asp?DDFDocuments/t/G/TBTN13/LTU22.DOC</v>
      </c>
      <c r="K694" s="2" t="str">
        <f>HYPERLINK("https://docs.wto.org/imrd/directdoc.asp?DDFDocuments/u/G/TBTN13/LTU22.DOC")</f>
        <v>https://docs.wto.org/imrd/directdoc.asp?DDFDocuments/u/G/TBTN13/LTU22.DOC</v>
      </c>
      <c r="L694" s="2" t="str">
        <f>HYPERLINK("https://docs.wto.org/imrd/directdoc.asp?DDFDocuments/v/G/TBTN13/LTU22.DOC")</f>
        <v>https://docs.wto.org/imrd/directdoc.asp?DDFDocuments/v/G/TBTN13/LTU22.DOC</v>
      </c>
      <c r="M694" s="2" t="str">
        <f>HYPERLINK("http://www.epingalert.org/#/details/G/TBT/N/LTU/22")</f>
        <v>http://www.epingalert.org/#/details/G/TBT/N/LTU/22</v>
      </c>
      <c r="N694" s="2"/>
      <c r="O694" s="2"/>
    </row>
    <row r="695" spans="1:15" ht="90" outlineLevel="1" x14ac:dyDescent="0.25">
      <c r="A695" s="2" t="s">
        <v>98</v>
      </c>
      <c r="B695" s="4" t="s">
        <v>2416</v>
      </c>
      <c r="C695" s="2" t="s">
        <v>2417</v>
      </c>
      <c r="D695" s="2" t="s">
        <v>2418</v>
      </c>
      <c r="E695" s="3">
        <v>41619</v>
      </c>
      <c r="F695" s="2"/>
      <c r="G695" s="2" t="s">
        <v>2419</v>
      </c>
      <c r="H695" s="2" t="s">
        <v>30</v>
      </c>
      <c r="I695" s="3">
        <v>41679</v>
      </c>
      <c r="J695" s="2" t="str">
        <f>HYPERLINK("https://docs.wto.org/imrd/directdoc.asp?DDFDocuments/t/G/TBTN13/ZAF172.DOC")</f>
        <v>https://docs.wto.org/imrd/directdoc.asp?DDFDocuments/t/G/TBTN13/ZAF172.DOC</v>
      </c>
      <c r="K695" s="2" t="str">
        <f>HYPERLINK("https://docs.wto.org/imrd/directdoc.asp?DDFDocuments/u/G/TBTN13/ZAF172.DOC")</f>
        <v>https://docs.wto.org/imrd/directdoc.asp?DDFDocuments/u/G/TBTN13/ZAF172.DOC</v>
      </c>
      <c r="L695" s="2" t="str">
        <f>HYPERLINK("https://docs.wto.org/imrd/directdoc.asp?DDFDocuments/v/G/TBTN13/ZAF172.DOC")</f>
        <v>https://docs.wto.org/imrd/directdoc.asp?DDFDocuments/v/G/TBTN13/ZAF172.DOC</v>
      </c>
      <c r="M695" s="2" t="str">
        <f>HYPERLINK("http://www.epingalert.org/#/details/G/TBT/N/ZAF/172")</f>
        <v>http://www.epingalert.org/#/details/G/TBT/N/ZAF/172</v>
      </c>
      <c r="N695" s="2"/>
      <c r="O695" s="2"/>
    </row>
    <row r="696" spans="1:15" outlineLevel="1" x14ac:dyDescent="0.25">
      <c r="A696" s="24"/>
      <c r="B696" s="24"/>
      <c r="C696" s="24"/>
      <c r="D696" s="24"/>
      <c r="E696" s="24"/>
      <c r="F696" s="24"/>
      <c r="G696" s="24"/>
      <c r="H696" s="24"/>
      <c r="I696" s="24"/>
      <c r="J696" s="24"/>
      <c r="K696" s="24"/>
      <c r="L696" s="24"/>
      <c r="M696" s="24"/>
      <c r="N696" s="24"/>
      <c r="O696" s="2"/>
    </row>
  </sheetData>
  <autoFilter ref="A6:M696">
    <sortState ref="A7:M674">
      <sortCondition descending="1" ref="E6:E674"/>
    </sortState>
  </autoFilter>
  <conditionalFormatting sqref="F52:F106 F40 F108:F1048576 F1:F6 F37">
    <cfRule type="cellIs" dxfId="640" priority="640" stopIfTrue="1" operator="equal">
      <formula>"All foods (ICS: 67)      "</formula>
    </cfRule>
    <cfRule type="cellIs" dxfId="639" priority="641" stopIfTrue="1" operator="equal">
      <formula>"All foods (ICS: 67)     "</formula>
    </cfRule>
    <cfRule type="cellIs" dxfId="638" priority="642" stopIfTrue="1" operator="equal">
      <formula>"All food (ICS: 67)   "</formula>
    </cfRule>
    <cfRule type="cellIs" dxfId="637" priority="643" stopIfTrue="1" operator="equal">
      <formula>"All food(ICS:67)"</formula>
    </cfRule>
    <cfRule type="cellIs" dxfId="636" priority="644" stopIfTrue="1" operator="equal">
      <formula>"food products"</formula>
    </cfRule>
    <cfRule type="cellIs" dxfId="635" priority="645" stopIfTrue="1" operator="equal">
      <formula>"Food in General  (ICS:67.040) "</formula>
    </cfRule>
    <cfRule type="cellIs" dxfId="634" priority="646" stopIfTrue="1" operator="equal">
      <formula>"Food in General (ICS:67.040)    "</formula>
    </cfRule>
    <cfRule type="cellIs" dxfId="633" priority="647" stopIfTrue="1" operator="equal">
      <formula>"Prepackaged Food Products"</formula>
    </cfRule>
    <cfRule type="cellIs" dxfId="632" priority="648" stopIfTrue="1" operator="equal">
      <formula>"Novel Foods "</formula>
    </cfRule>
    <cfRule type="cellIs" dxfId="631" priority="649" stopIfTrue="1" operator="equal">
      <formula>"Food Additives"</formula>
    </cfRule>
    <cfRule type="cellIs" dxfId="630" priority="650" stopIfTrue="1" operator="equal">
      <formula>"Foods Chain"</formula>
    </cfRule>
    <cfRule type="cellIs" dxfId="629" priority="651" stopIfTrue="1" operator="equal">
      <formula>"Food Additives    "</formula>
    </cfRule>
    <cfRule type="cellIs" dxfId="628" priority="652" stopIfTrue="1" operator="equal">
      <formula>"Food  Labelling"</formula>
    </cfRule>
    <cfRule type="cellIs" dxfId="627" priority="653" stopIfTrue="1" operator="equal">
      <formula>"Food Labelling "</formula>
    </cfRule>
    <cfRule type="cellIs" dxfId="626" priority="654" stopIfTrue="1" operator="equal">
      <formula>"Halal Foods "</formula>
    </cfRule>
    <cfRule type="cellIs" dxfId="625" priority="655" stopIfTrue="1" operator="equal">
      <formula>"Food "</formula>
    </cfRule>
    <cfRule type="cellIs" dxfId="624" priority="656" stopIfTrue="1" operator="equal">
      <formula>"Food for human consumption ."</formula>
    </cfRule>
    <cfRule type="cellIs" dxfId="623" priority="657" stopIfTrue="1" operator="equal">
      <formula>"Food flavourings and food ingredients with flavouring properties"</formula>
    </cfRule>
    <cfRule type="cellIs" dxfId="622" priority="658" stopIfTrue="1" operator="equal">
      <formula>"Food for human consumption"</formula>
    </cfRule>
    <cfRule type="cellIs" dxfId="621" priority="659" stopIfTrue="1" operator="equal">
      <formula>"Specifications for food additives"</formula>
    </cfRule>
    <cfRule type="cellIs" dxfId="620" priority="660" stopIfTrue="1" operator="equal">
      <formula>"Food"</formula>
    </cfRule>
    <cfRule type="cellIs" dxfId="619" priority="661" stopIfTrue="1" operator="equal">
      <formula>"Foodstuffs"</formula>
    </cfRule>
    <cfRule type="cellIs" dxfId="618" priority="662" stopIfTrue="1" operator="equal">
      <formula>" Food"</formula>
    </cfRule>
    <cfRule type="cellIs" dxfId="617" priority="663" stopIfTrue="1" operator="equal">
      <formula>"Food labeling"</formula>
    </cfRule>
    <cfRule type="cellIs" dxfId="616" priority="664" stopIfTrue="1" operator="equal">
      <formula>"Food"</formula>
    </cfRule>
  </conditionalFormatting>
  <conditionalFormatting sqref="F50">
    <cfRule type="cellIs" dxfId="615" priority="586" stopIfTrue="1" operator="equal">
      <formula>"All foods (ICS: 67)      "</formula>
    </cfRule>
    <cfRule type="cellIs" dxfId="614" priority="587" stopIfTrue="1" operator="equal">
      <formula>"All foods (ICS: 67)     "</formula>
    </cfRule>
    <cfRule type="cellIs" dxfId="613" priority="588" stopIfTrue="1" operator="equal">
      <formula>"All food (ICS: 67)   "</formula>
    </cfRule>
    <cfRule type="cellIs" dxfId="612" priority="589" stopIfTrue="1" operator="equal">
      <formula>"All food(ICS:67)"</formula>
    </cfRule>
    <cfRule type="cellIs" dxfId="611" priority="590" stopIfTrue="1" operator="equal">
      <formula>"food products"</formula>
    </cfRule>
    <cfRule type="cellIs" dxfId="610" priority="591" stopIfTrue="1" operator="equal">
      <formula>"Food in General  (ICS:67.040) "</formula>
    </cfRule>
    <cfRule type="cellIs" dxfId="609" priority="592" stopIfTrue="1" operator="equal">
      <formula>"Food in General (ICS:67.040)    "</formula>
    </cfRule>
    <cfRule type="cellIs" dxfId="608" priority="593" stopIfTrue="1" operator="equal">
      <formula>"Prepackaged Food Products"</formula>
    </cfRule>
    <cfRule type="cellIs" dxfId="607" priority="594" stopIfTrue="1" operator="equal">
      <formula>"Novel Foods "</formula>
    </cfRule>
    <cfRule type="cellIs" dxfId="606" priority="595" stopIfTrue="1" operator="equal">
      <formula>"Food Additives"</formula>
    </cfRule>
    <cfRule type="cellIs" dxfId="605" priority="596" stopIfTrue="1" operator="equal">
      <formula>"Foods Chain"</formula>
    </cfRule>
    <cfRule type="cellIs" dxfId="604" priority="597" stopIfTrue="1" operator="equal">
      <formula>"Food Additives    "</formula>
    </cfRule>
    <cfRule type="cellIs" dxfId="603" priority="598" stopIfTrue="1" operator="equal">
      <formula>"Food  Labelling"</formula>
    </cfRule>
    <cfRule type="cellIs" dxfId="602" priority="599" stopIfTrue="1" operator="equal">
      <formula>"Food Labelling "</formula>
    </cfRule>
    <cfRule type="cellIs" dxfId="601" priority="600" stopIfTrue="1" operator="equal">
      <formula>"Halal Foods "</formula>
    </cfRule>
    <cfRule type="cellIs" dxfId="600" priority="601" stopIfTrue="1" operator="equal">
      <formula>"Food "</formula>
    </cfRule>
    <cfRule type="cellIs" dxfId="599" priority="602" stopIfTrue="1" operator="equal">
      <formula>"Food for human consumption ."</formula>
    </cfRule>
    <cfRule type="cellIs" dxfId="598" priority="603" stopIfTrue="1" operator="equal">
      <formula>"Food flavourings and food ingredients with flavouring properties"</formula>
    </cfRule>
    <cfRule type="cellIs" dxfId="597" priority="604" stopIfTrue="1" operator="equal">
      <formula>"Food for human consumption"</formula>
    </cfRule>
    <cfRule type="cellIs" dxfId="596" priority="605" stopIfTrue="1" operator="equal">
      <formula>"Specifications for food additives"</formula>
    </cfRule>
    <cfRule type="cellIs" dxfId="595" priority="606" stopIfTrue="1" operator="equal">
      <formula>"Food"</formula>
    </cfRule>
    <cfRule type="cellIs" dxfId="594" priority="607" stopIfTrue="1" operator="equal">
      <formula>"Foodstuffs"</formula>
    </cfRule>
    <cfRule type="cellIs" dxfId="593" priority="608" stopIfTrue="1" operator="equal">
      <formula>" Food"</formula>
    </cfRule>
    <cfRule type="cellIs" dxfId="592" priority="609" stopIfTrue="1" operator="equal">
      <formula>"Food labeling"</formula>
    </cfRule>
    <cfRule type="cellIs" dxfId="591" priority="610" stopIfTrue="1" operator="equal">
      <formula>"Food"</formula>
    </cfRule>
  </conditionalFormatting>
  <conditionalFormatting sqref="F39">
    <cfRule type="cellIs" dxfId="590" priority="556" stopIfTrue="1" operator="equal">
      <formula>"All foods (ICS: 67)      "</formula>
    </cfRule>
    <cfRule type="cellIs" dxfId="589" priority="557" stopIfTrue="1" operator="equal">
      <formula>"All foods (ICS: 67)     "</formula>
    </cfRule>
    <cfRule type="cellIs" dxfId="588" priority="558" stopIfTrue="1" operator="equal">
      <formula>"All food (ICS: 67)   "</formula>
    </cfRule>
    <cfRule type="cellIs" dxfId="587" priority="559" stopIfTrue="1" operator="equal">
      <formula>"All food(ICS:67)"</formula>
    </cfRule>
    <cfRule type="cellIs" dxfId="586" priority="560" stopIfTrue="1" operator="equal">
      <formula>"food products"</formula>
    </cfRule>
    <cfRule type="cellIs" dxfId="585" priority="561" stopIfTrue="1" operator="equal">
      <formula>"Food in General  (ICS:67.040) "</formula>
    </cfRule>
    <cfRule type="cellIs" dxfId="584" priority="562" stopIfTrue="1" operator="equal">
      <formula>"Food in General (ICS:67.040)    "</formula>
    </cfRule>
    <cfRule type="cellIs" dxfId="583" priority="563" stopIfTrue="1" operator="equal">
      <formula>"Prepackaged Food Products"</formula>
    </cfRule>
    <cfRule type="cellIs" dxfId="582" priority="564" stopIfTrue="1" operator="equal">
      <formula>"Novel Foods "</formula>
    </cfRule>
    <cfRule type="cellIs" dxfId="581" priority="565" stopIfTrue="1" operator="equal">
      <formula>"Food Additives"</formula>
    </cfRule>
    <cfRule type="cellIs" dxfId="580" priority="566" stopIfTrue="1" operator="equal">
      <formula>"Foods Chain"</formula>
    </cfRule>
    <cfRule type="cellIs" dxfId="579" priority="567" stopIfTrue="1" operator="equal">
      <formula>"Food Additives    "</formula>
    </cfRule>
    <cfRule type="cellIs" dxfId="578" priority="568" stopIfTrue="1" operator="equal">
      <formula>"Food  Labelling"</formula>
    </cfRule>
    <cfRule type="cellIs" dxfId="577" priority="569" stopIfTrue="1" operator="equal">
      <formula>"Food Labelling "</formula>
    </cfRule>
    <cfRule type="cellIs" dxfId="576" priority="570" stopIfTrue="1" operator="equal">
      <formula>"Halal Foods "</formula>
    </cfRule>
    <cfRule type="cellIs" dxfId="575" priority="571" stopIfTrue="1" operator="equal">
      <formula>"Food "</formula>
    </cfRule>
    <cfRule type="cellIs" dxfId="574" priority="572" stopIfTrue="1" operator="equal">
      <formula>"Food for human consumption ."</formula>
    </cfRule>
    <cfRule type="cellIs" dxfId="573" priority="573" stopIfTrue="1" operator="equal">
      <formula>"Food flavourings and food ingredients with flavouring properties"</formula>
    </cfRule>
    <cfRule type="cellIs" dxfId="572" priority="574" stopIfTrue="1" operator="equal">
      <formula>"Food for human consumption"</formula>
    </cfRule>
    <cfRule type="cellIs" dxfId="571" priority="575" stopIfTrue="1" operator="equal">
      <formula>"Specifications for food additives"</formula>
    </cfRule>
    <cfRule type="cellIs" dxfId="570" priority="576" stopIfTrue="1" operator="equal">
      <formula>"Food"</formula>
    </cfRule>
    <cfRule type="cellIs" dxfId="569" priority="577" stopIfTrue="1" operator="equal">
      <formula>"Foodstuffs"</formula>
    </cfRule>
    <cfRule type="cellIs" dxfId="568" priority="578" stopIfTrue="1" operator="equal">
      <formula>" Food"</formula>
    </cfRule>
    <cfRule type="cellIs" dxfId="567" priority="579" stopIfTrue="1" operator="equal">
      <formula>"Food labeling"</formula>
    </cfRule>
    <cfRule type="cellIs" dxfId="566" priority="580" stopIfTrue="1" operator="equal">
      <formula>"Food"</formula>
    </cfRule>
  </conditionalFormatting>
  <conditionalFormatting sqref="F107">
    <cfRule type="cellIs" dxfId="565" priority="530" stopIfTrue="1" operator="equal">
      <formula>"All foods (ICS: 67)      "</formula>
    </cfRule>
    <cfRule type="cellIs" dxfId="564" priority="531" stopIfTrue="1" operator="equal">
      <formula>"All foods (ICS: 67)     "</formula>
    </cfRule>
    <cfRule type="cellIs" dxfId="563" priority="532" stopIfTrue="1" operator="equal">
      <formula>"All food (ICS: 67)   "</formula>
    </cfRule>
    <cfRule type="cellIs" dxfId="562" priority="533" stopIfTrue="1" operator="equal">
      <formula>"All food(ICS:67)"</formula>
    </cfRule>
    <cfRule type="cellIs" dxfId="561" priority="534" stopIfTrue="1" operator="equal">
      <formula>"food products"</formula>
    </cfRule>
    <cfRule type="cellIs" dxfId="560" priority="535" stopIfTrue="1" operator="equal">
      <formula>"Food in General  (ICS:67.040) "</formula>
    </cfRule>
    <cfRule type="cellIs" dxfId="559" priority="536" stopIfTrue="1" operator="equal">
      <formula>"Food in General (ICS:67.040)    "</formula>
    </cfRule>
    <cfRule type="cellIs" dxfId="558" priority="537" stopIfTrue="1" operator="equal">
      <formula>"Prepackaged Food Products"</formula>
    </cfRule>
    <cfRule type="cellIs" dxfId="557" priority="538" stopIfTrue="1" operator="equal">
      <formula>"Novel Foods "</formula>
    </cfRule>
    <cfRule type="cellIs" dxfId="556" priority="539" stopIfTrue="1" operator="equal">
      <formula>"Food Additives"</formula>
    </cfRule>
    <cfRule type="cellIs" dxfId="555" priority="540" stopIfTrue="1" operator="equal">
      <formula>"Foods Chain"</formula>
    </cfRule>
    <cfRule type="cellIs" dxfId="554" priority="541" stopIfTrue="1" operator="equal">
      <formula>"Food Additives    "</formula>
    </cfRule>
    <cfRule type="cellIs" dxfId="553" priority="542" stopIfTrue="1" operator="equal">
      <formula>"Food  Labelling"</formula>
    </cfRule>
    <cfRule type="cellIs" dxfId="552" priority="543" stopIfTrue="1" operator="equal">
      <formula>"Food Labelling "</formula>
    </cfRule>
    <cfRule type="cellIs" dxfId="551" priority="544" stopIfTrue="1" operator="equal">
      <formula>"Halal Foods "</formula>
    </cfRule>
    <cfRule type="cellIs" dxfId="550" priority="545" stopIfTrue="1" operator="equal">
      <formula>"Food "</formula>
    </cfRule>
    <cfRule type="cellIs" dxfId="549" priority="546" stopIfTrue="1" operator="equal">
      <formula>"Food for human consumption ."</formula>
    </cfRule>
    <cfRule type="cellIs" dxfId="548" priority="547" stopIfTrue="1" operator="equal">
      <formula>"Food flavourings and food ingredients with flavouring properties"</formula>
    </cfRule>
    <cfRule type="cellIs" dxfId="547" priority="548" stopIfTrue="1" operator="equal">
      <formula>"Food for human consumption"</formula>
    </cfRule>
    <cfRule type="cellIs" dxfId="546" priority="549" stopIfTrue="1" operator="equal">
      <formula>"Specifications for food additives"</formula>
    </cfRule>
    <cfRule type="cellIs" dxfId="545" priority="550" stopIfTrue="1" operator="equal">
      <formula>"Food"</formula>
    </cfRule>
    <cfRule type="cellIs" dxfId="544" priority="551" stopIfTrue="1" operator="equal">
      <formula>"Foodstuffs"</formula>
    </cfRule>
    <cfRule type="cellIs" dxfId="543" priority="552" stopIfTrue="1" operator="equal">
      <formula>" Food"</formula>
    </cfRule>
    <cfRule type="cellIs" dxfId="542" priority="553" stopIfTrue="1" operator="equal">
      <formula>"Food labeling"</formula>
    </cfRule>
    <cfRule type="cellIs" dxfId="541" priority="554" stopIfTrue="1" operator="equal">
      <formula>"Food"</formula>
    </cfRule>
  </conditionalFormatting>
  <conditionalFormatting sqref="F38">
    <cfRule type="cellIs" dxfId="540" priority="504" stopIfTrue="1" operator="equal">
      <formula>"All foods (ICS: 67)      "</formula>
    </cfRule>
    <cfRule type="cellIs" dxfId="539" priority="505" stopIfTrue="1" operator="equal">
      <formula>"All foods (ICS: 67)     "</formula>
    </cfRule>
    <cfRule type="cellIs" dxfId="538" priority="506" stopIfTrue="1" operator="equal">
      <formula>"All food (ICS: 67)   "</formula>
    </cfRule>
    <cfRule type="cellIs" dxfId="537" priority="507" stopIfTrue="1" operator="equal">
      <formula>"All food(ICS:67)"</formula>
    </cfRule>
    <cfRule type="cellIs" dxfId="536" priority="508" stopIfTrue="1" operator="equal">
      <formula>"food products"</formula>
    </cfRule>
    <cfRule type="cellIs" dxfId="535" priority="509" stopIfTrue="1" operator="equal">
      <formula>"Food in General  (ICS:67.040) "</formula>
    </cfRule>
    <cfRule type="cellIs" dxfId="534" priority="510" stopIfTrue="1" operator="equal">
      <formula>"Food in General (ICS:67.040)    "</formula>
    </cfRule>
    <cfRule type="cellIs" dxfId="533" priority="511" stopIfTrue="1" operator="equal">
      <formula>"Prepackaged Food Products"</formula>
    </cfRule>
    <cfRule type="cellIs" dxfId="532" priority="512" stopIfTrue="1" operator="equal">
      <formula>"Novel Foods "</formula>
    </cfRule>
    <cfRule type="cellIs" dxfId="531" priority="513" stopIfTrue="1" operator="equal">
      <formula>"Food Additives"</formula>
    </cfRule>
    <cfRule type="cellIs" dxfId="530" priority="514" stopIfTrue="1" operator="equal">
      <formula>"Foods Chain"</formula>
    </cfRule>
    <cfRule type="cellIs" dxfId="529" priority="515" stopIfTrue="1" operator="equal">
      <formula>"Food Additives    "</formula>
    </cfRule>
    <cfRule type="cellIs" dxfId="528" priority="516" stopIfTrue="1" operator="equal">
      <formula>"Food  Labelling"</formula>
    </cfRule>
    <cfRule type="cellIs" dxfId="527" priority="517" stopIfTrue="1" operator="equal">
      <formula>"Food Labelling "</formula>
    </cfRule>
    <cfRule type="cellIs" dxfId="526" priority="518" stopIfTrue="1" operator="equal">
      <formula>"Halal Foods "</formula>
    </cfRule>
    <cfRule type="cellIs" dxfId="525" priority="519" stopIfTrue="1" operator="equal">
      <formula>"Food "</formula>
    </cfRule>
    <cfRule type="cellIs" dxfId="524" priority="520" stopIfTrue="1" operator="equal">
      <formula>"Food for human consumption ."</formula>
    </cfRule>
    <cfRule type="cellIs" dxfId="523" priority="521" stopIfTrue="1" operator="equal">
      <formula>"Food flavourings and food ingredients with flavouring properties"</formula>
    </cfRule>
    <cfRule type="cellIs" dxfId="522" priority="522" stopIfTrue="1" operator="equal">
      <formula>"Food for human consumption"</formula>
    </cfRule>
    <cfRule type="cellIs" dxfId="521" priority="523" stopIfTrue="1" operator="equal">
      <formula>"Specifications for food additives"</formula>
    </cfRule>
    <cfRule type="cellIs" dxfId="520" priority="524" stopIfTrue="1" operator="equal">
      <formula>"Food"</formula>
    </cfRule>
    <cfRule type="cellIs" dxfId="519" priority="525" stopIfTrue="1" operator="equal">
      <formula>"Foodstuffs"</formula>
    </cfRule>
    <cfRule type="cellIs" dxfId="518" priority="526" stopIfTrue="1" operator="equal">
      <formula>" Food"</formula>
    </cfRule>
    <cfRule type="cellIs" dxfId="517" priority="527" stopIfTrue="1" operator="equal">
      <formula>"Food labeling"</formula>
    </cfRule>
    <cfRule type="cellIs" dxfId="516" priority="528" stopIfTrue="1" operator="equal">
      <formula>"Food"</formula>
    </cfRule>
  </conditionalFormatting>
  <conditionalFormatting sqref="F32:H33">
    <cfRule type="cellIs" dxfId="515" priority="475" stopIfTrue="1" operator="equal">
      <formula>"All foods (ICS: 67)      "</formula>
    </cfRule>
    <cfRule type="cellIs" dxfId="514" priority="476" stopIfTrue="1" operator="equal">
      <formula>"All foods (ICS: 67)     "</formula>
    </cfRule>
    <cfRule type="cellIs" dxfId="513" priority="477" stopIfTrue="1" operator="equal">
      <formula>"All food (ICS: 67)   "</formula>
    </cfRule>
    <cfRule type="cellIs" dxfId="512" priority="478" stopIfTrue="1" operator="equal">
      <formula>"All food(ICS:67)"</formula>
    </cfRule>
    <cfRule type="cellIs" dxfId="511" priority="479" stopIfTrue="1" operator="equal">
      <formula>"food products"</formula>
    </cfRule>
    <cfRule type="cellIs" dxfId="510" priority="480" stopIfTrue="1" operator="equal">
      <formula>"Food in General  (ICS:67.040) "</formula>
    </cfRule>
    <cfRule type="cellIs" dxfId="509" priority="481" stopIfTrue="1" operator="equal">
      <formula>"Food in General (ICS:67.040)    "</formula>
    </cfRule>
    <cfRule type="cellIs" dxfId="508" priority="482" stopIfTrue="1" operator="equal">
      <formula>"Prepackaged Food Products"</formula>
    </cfRule>
    <cfRule type="cellIs" dxfId="507" priority="483" stopIfTrue="1" operator="equal">
      <formula>"Novel Foods "</formula>
    </cfRule>
    <cfRule type="cellIs" dxfId="506" priority="484" stopIfTrue="1" operator="equal">
      <formula>"Food Additives"</formula>
    </cfRule>
    <cfRule type="cellIs" dxfId="505" priority="485" stopIfTrue="1" operator="equal">
      <formula>"Foods Chain"</formula>
    </cfRule>
    <cfRule type="cellIs" dxfId="504" priority="486" stopIfTrue="1" operator="equal">
      <formula>"Food Additives    "</formula>
    </cfRule>
    <cfRule type="cellIs" dxfId="503" priority="487" stopIfTrue="1" operator="equal">
      <formula>"Food  Labelling"</formula>
    </cfRule>
    <cfRule type="cellIs" dxfId="502" priority="488" stopIfTrue="1" operator="equal">
      <formula>"Food Labelling "</formula>
    </cfRule>
    <cfRule type="cellIs" dxfId="501" priority="489" stopIfTrue="1" operator="equal">
      <formula>"Halal Foods "</formula>
    </cfRule>
    <cfRule type="cellIs" dxfId="500" priority="490" stopIfTrue="1" operator="equal">
      <formula>"Food "</formula>
    </cfRule>
    <cfRule type="cellIs" dxfId="499" priority="491" stopIfTrue="1" operator="equal">
      <formula>"Food for human consumption ."</formula>
    </cfRule>
    <cfRule type="cellIs" dxfId="498" priority="492" stopIfTrue="1" operator="equal">
      <formula>"Food flavourings and food ingredients with flavouring properties"</formula>
    </cfRule>
    <cfRule type="cellIs" dxfId="497" priority="493" stopIfTrue="1" operator="equal">
      <formula>"Food for human consumption"</formula>
    </cfRule>
    <cfRule type="cellIs" dxfId="496" priority="494" stopIfTrue="1" operator="equal">
      <formula>"Specifications for food additives"</formula>
    </cfRule>
    <cfRule type="cellIs" dxfId="495" priority="495" stopIfTrue="1" operator="equal">
      <formula>"Food"</formula>
    </cfRule>
    <cfRule type="cellIs" dxfId="494" priority="496" stopIfTrue="1" operator="equal">
      <formula>"Foodstuffs"</formula>
    </cfRule>
    <cfRule type="cellIs" dxfId="493" priority="497" stopIfTrue="1" operator="equal">
      <formula>" Food"</formula>
    </cfRule>
    <cfRule type="cellIs" dxfId="492" priority="498" stopIfTrue="1" operator="equal">
      <formula>"Food labeling"</formula>
    </cfRule>
    <cfRule type="cellIs" dxfId="491" priority="499" stopIfTrue="1" operator="equal">
      <formula>"Food"</formula>
    </cfRule>
  </conditionalFormatting>
  <conditionalFormatting sqref="F31:H31">
    <cfRule type="cellIs" dxfId="490" priority="450" stopIfTrue="1" operator="equal">
      <formula>"All foods (ICS: 67)      "</formula>
    </cfRule>
    <cfRule type="cellIs" dxfId="489" priority="451" stopIfTrue="1" operator="equal">
      <formula>"All foods (ICS: 67)     "</formula>
    </cfRule>
    <cfRule type="cellIs" dxfId="488" priority="452" stopIfTrue="1" operator="equal">
      <formula>"All food (ICS: 67)   "</formula>
    </cfRule>
    <cfRule type="cellIs" dxfId="487" priority="453" stopIfTrue="1" operator="equal">
      <formula>"All food(ICS:67)"</formula>
    </cfRule>
    <cfRule type="cellIs" dxfId="486" priority="454" stopIfTrue="1" operator="equal">
      <formula>"food products"</formula>
    </cfRule>
    <cfRule type="cellIs" dxfId="485" priority="455" stopIfTrue="1" operator="equal">
      <formula>"Food in General  (ICS:67.040) "</formula>
    </cfRule>
    <cfRule type="cellIs" dxfId="484" priority="456" stopIfTrue="1" operator="equal">
      <formula>"Food in General (ICS:67.040)    "</formula>
    </cfRule>
    <cfRule type="cellIs" dxfId="483" priority="457" stopIfTrue="1" operator="equal">
      <formula>"Prepackaged Food Products"</formula>
    </cfRule>
    <cfRule type="cellIs" dxfId="482" priority="458" stopIfTrue="1" operator="equal">
      <formula>"Novel Foods "</formula>
    </cfRule>
    <cfRule type="cellIs" dxfId="481" priority="459" stopIfTrue="1" operator="equal">
      <formula>"Food Additives"</formula>
    </cfRule>
    <cfRule type="cellIs" dxfId="480" priority="460" stopIfTrue="1" operator="equal">
      <formula>"Foods Chain"</formula>
    </cfRule>
    <cfRule type="cellIs" dxfId="479" priority="461" stopIfTrue="1" operator="equal">
      <formula>"Food Additives    "</formula>
    </cfRule>
    <cfRule type="cellIs" dxfId="478" priority="462" stopIfTrue="1" operator="equal">
      <formula>"Food  Labelling"</formula>
    </cfRule>
    <cfRule type="cellIs" dxfId="477" priority="463" stopIfTrue="1" operator="equal">
      <formula>"Food Labelling "</formula>
    </cfRule>
    <cfRule type="cellIs" dxfId="476" priority="464" stopIfTrue="1" operator="equal">
      <formula>"Halal Foods "</formula>
    </cfRule>
    <cfRule type="cellIs" dxfId="475" priority="465" stopIfTrue="1" operator="equal">
      <formula>"Food "</formula>
    </cfRule>
    <cfRule type="cellIs" dxfId="474" priority="466" stopIfTrue="1" operator="equal">
      <formula>"Food for human consumption ."</formula>
    </cfRule>
    <cfRule type="cellIs" dxfId="473" priority="467" stopIfTrue="1" operator="equal">
      <formula>"Food flavourings and food ingredients with flavouring properties"</formula>
    </cfRule>
    <cfRule type="cellIs" dxfId="472" priority="468" stopIfTrue="1" operator="equal">
      <formula>"Food for human consumption"</formula>
    </cfRule>
    <cfRule type="cellIs" dxfId="471" priority="469" stopIfTrue="1" operator="equal">
      <formula>"Specifications for food additives"</formula>
    </cfRule>
    <cfRule type="cellIs" dxfId="470" priority="470" stopIfTrue="1" operator="equal">
      <formula>"Food"</formula>
    </cfRule>
    <cfRule type="cellIs" dxfId="469" priority="471" stopIfTrue="1" operator="equal">
      <formula>"Foodstuffs"</formula>
    </cfRule>
    <cfRule type="cellIs" dxfId="468" priority="472" stopIfTrue="1" operator="equal">
      <formula>" Food"</formula>
    </cfRule>
    <cfRule type="cellIs" dxfId="467" priority="473" stopIfTrue="1" operator="equal">
      <formula>"Food labeling"</formula>
    </cfRule>
    <cfRule type="cellIs" dxfId="466" priority="474" stopIfTrue="1" operator="equal">
      <formula>"Food"</formula>
    </cfRule>
  </conditionalFormatting>
  <conditionalFormatting sqref="F29:F30">
    <cfRule type="cellIs" dxfId="465" priority="424" stopIfTrue="1" operator="equal">
      <formula>"All foods (ICS: 67)      "</formula>
    </cfRule>
    <cfRule type="cellIs" dxfId="464" priority="425" stopIfTrue="1" operator="equal">
      <formula>"All foods (ICS: 67)     "</formula>
    </cfRule>
    <cfRule type="cellIs" dxfId="463" priority="426" stopIfTrue="1" operator="equal">
      <formula>"All food (ICS: 67)   "</formula>
    </cfRule>
    <cfRule type="cellIs" dxfId="462" priority="427" stopIfTrue="1" operator="equal">
      <formula>"All food(ICS:67)"</formula>
    </cfRule>
    <cfRule type="cellIs" dxfId="461" priority="428" stopIfTrue="1" operator="equal">
      <formula>"food products"</formula>
    </cfRule>
    <cfRule type="cellIs" dxfId="460" priority="429" stopIfTrue="1" operator="equal">
      <formula>"Food in General  (ICS:67.040) "</formula>
    </cfRule>
    <cfRule type="cellIs" dxfId="459" priority="430" stopIfTrue="1" operator="equal">
      <formula>"Food in General (ICS:67.040)    "</formula>
    </cfRule>
    <cfRule type="cellIs" dxfId="458" priority="431" stopIfTrue="1" operator="equal">
      <formula>"Prepackaged Food Products"</formula>
    </cfRule>
    <cfRule type="cellIs" dxfId="457" priority="432" stopIfTrue="1" operator="equal">
      <formula>"Novel Foods "</formula>
    </cfRule>
    <cfRule type="cellIs" dxfId="456" priority="433" stopIfTrue="1" operator="equal">
      <formula>"Food Additives"</formula>
    </cfRule>
    <cfRule type="cellIs" dxfId="455" priority="434" stopIfTrue="1" operator="equal">
      <formula>"Foods Chain"</formula>
    </cfRule>
    <cfRule type="cellIs" dxfId="454" priority="435" stopIfTrue="1" operator="equal">
      <formula>"Food Additives    "</formula>
    </cfRule>
    <cfRule type="cellIs" dxfId="453" priority="436" stopIfTrue="1" operator="equal">
      <formula>"Food  Labelling"</formula>
    </cfRule>
    <cfRule type="cellIs" dxfId="452" priority="437" stopIfTrue="1" operator="equal">
      <formula>"Food Labelling "</formula>
    </cfRule>
    <cfRule type="cellIs" dxfId="451" priority="438" stopIfTrue="1" operator="equal">
      <formula>"Halal Foods "</formula>
    </cfRule>
    <cfRule type="cellIs" dxfId="450" priority="439" stopIfTrue="1" operator="equal">
      <formula>"Food "</formula>
    </cfRule>
    <cfRule type="cellIs" dxfId="449" priority="440" stopIfTrue="1" operator="equal">
      <formula>"Food for human consumption ."</formula>
    </cfRule>
    <cfRule type="cellIs" dxfId="448" priority="441" stopIfTrue="1" operator="equal">
      <formula>"Food flavourings and food ingredients with flavouring properties"</formula>
    </cfRule>
    <cfRule type="cellIs" dxfId="447" priority="442" stopIfTrue="1" operator="equal">
      <formula>"Food for human consumption"</formula>
    </cfRule>
    <cfRule type="cellIs" dxfId="446" priority="443" stopIfTrue="1" operator="equal">
      <formula>"Specifications for food additives"</formula>
    </cfRule>
    <cfRule type="cellIs" dxfId="445" priority="444" stopIfTrue="1" operator="equal">
      <formula>"Food"</formula>
    </cfRule>
    <cfRule type="cellIs" dxfId="444" priority="445" stopIfTrue="1" operator="equal">
      <formula>"Foodstuffs"</formula>
    </cfRule>
    <cfRule type="cellIs" dxfId="443" priority="446" stopIfTrue="1" operator="equal">
      <formula>" Food"</formula>
    </cfRule>
    <cfRule type="cellIs" dxfId="442" priority="447" stopIfTrue="1" operator="equal">
      <formula>"Food labeling"</formula>
    </cfRule>
    <cfRule type="cellIs" dxfId="441" priority="448" stopIfTrue="1" operator="equal">
      <formula>"Food"</formula>
    </cfRule>
  </conditionalFormatting>
  <conditionalFormatting sqref="H30">
    <cfRule type="cellIs" dxfId="440" priority="399" stopIfTrue="1" operator="equal">
      <formula>"All foods (ICS: 67)      "</formula>
    </cfRule>
    <cfRule type="cellIs" dxfId="439" priority="400" stopIfTrue="1" operator="equal">
      <formula>"All foods (ICS: 67)     "</formula>
    </cfRule>
    <cfRule type="cellIs" dxfId="438" priority="401" stopIfTrue="1" operator="equal">
      <formula>"All food (ICS: 67)   "</formula>
    </cfRule>
    <cfRule type="cellIs" dxfId="437" priority="402" stopIfTrue="1" operator="equal">
      <formula>"All food(ICS:67)"</formula>
    </cfRule>
    <cfRule type="cellIs" dxfId="436" priority="403" stopIfTrue="1" operator="equal">
      <formula>"food products"</formula>
    </cfRule>
    <cfRule type="cellIs" dxfId="435" priority="404" stopIfTrue="1" operator="equal">
      <formula>"Food in General  (ICS:67.040) "</formula>
    </cfRule>
    <cfRule type="cellIs" dxfId="434" priority="405" stopIfTrue="1" operator="equal">
      <formula>"Food in General (ICS:67.040)    "</formula>
    </cfRule>
    <cfRule type="cellIs" dxfId="433" priority="406" stopIfTrue="1" operator="equal">
      <formula>"Prepackaged Food Products"</formula>
    </cfRule>
    <cfRule type="cellIs" dxfId="432" priority="407" stopIfTrue="1" operator="equal">
      <formula>"Novel Foods "</formula>
    </cfRule>
    <cfRule type="cellIs" dxfId="431" priority="408" stopIfTrue="1" operator="equal">
      <formula>"Food Additives"</formula>
    </cfRule>
    <cfRule type="cellIs" dxfId="430" priority="409" stopIfTrue="1" operator="equal">
      <formula>"Foods Chain"</formula>
    </cfRule>
    <cfRule type="cellIs" dxfId="429" priority="410" stopIfTrue="1" operator="equal">
      <formula>"Food Additives    "</formula>
    </cfRule>
    <cfRule type="cellIs" dxfId="428" priority="411" stopIfTrue="1" operator="equal">
      <formula>"Food  Labelling"</formula>
    </cfRule>
    <cfRule type="cellIs" dxfId="427" priority="412" stopIfTrue="1" operator="equal">
      <formula>"Food Labelling "</formula>
    </cfRule>
    <cfRule type="cellIs" dxfId="426" priority="413" stopIfTrue="1" operator="equal">
      <formula>"Halal Foods "</formula>
    </cfRule>
    <cfRule type="cellIs" dxfId="425" priority="414" stopIfTrue="1" operator="equal">
      <formula>"Food "</formula>
    </cfRule>
    <cfRule type="cellIs" dxfId="424" priority="415" stopIfTrue="1" operator="equal">
      <formula>"Food for human consumption ."</formula>
    </cfRule>
    <cfRule type="cellIs" dxfId="423" priority="416" stopIfTrue="1" operator="equal">
      <formula>"Food flavourings and food ingredients with flavouring properties"</formula>
    </cfRule>
    <cfRule type="cellIs" dxfId="422" priority="417" stopIfTrue="1" operator="equal">
      <formula>"Food for human consumption"</formula>
    </cfRule>
    <cfRule type="cellIs" dxfId="421" priority="418" stopIfTrue="1" operator="equal">
      <formula>"Specifications for food additives"</formula>
    </cfRule>
    <cfRule type="cellIs" dxfId="420" priority="419" stopIfTrue="1" operator="equal">
      <formula>"Food"</formula>
    </cfRule>
    <cfRule type="cellIs" dxfId="419" priority="420" stopIfTrue="1" operator="equal">
      <formula>"Foodstuffs"</formula>
    </cfRule>
    <cfRule type="cellIs" dxfId="418" priority="421" stopIfTrue="1" operator="equal">
      <formula>" Food"</formula>
    </cfRule>
    <cfRule type="cellIs" dxfId="417" priority="422" stopIfTrue="1" operator="equal">
      <formula>"Food labeling"</formula>
    </cfRule>
    <cfRule type="cellIs" dxfId="416" priority="423" stopIfTrue="1" operator="equal">
      <formula>"Food"</formula>
    </cfRule>
  </conditionalFormatting>
  <conditionalFormatting sqref="F28">
    <cfRule type="cellIs" dxfId="415" priority="322" stopIfTrue="1" operator="equal">
      <formula>"All foods (ICS: 67)      "</formula>
    </cfRule>
    <cfRule type="cellIs" dxfId="414" priority="323" stopIfTrue="1" operator="equal">
      <formula>"All foods (ICS: 67)     "</formula>
    </cfRule>
    <cfRule type="cellIs" dxfId="413" priority="324" stopIfTrue="1" operator="equal">
      <formula>"All food (ICS: 67)   "</formula>
    </cfRule>
    <cfRule type="cellIs" dxfId="412" priority="325" stopIfTrue="1" operator="equal">
      <formula>"All food(ICS:67)"</formula>
    </cfRule>
    <cfRule type="cellIs" dxfId="411" priority="326" stopIfTrue="1" operator="equal">
      <formula>"food products"</formula>
    </cfRule>
    <cfRule type="cellIs" dxfId="410" priority="327" stopIfTrue="1" operator="equal">
      <formula>"Food in General  (ICS:67.040) "</formula>
    </cfRule>
    <cfRule type="cellIs" dxfId="409" priority="328" stopIfTrue="1" operator="equal">
      <formula>"Food in General (ICS:67.040)    "</formula>
    </cfRule>
    <cfRule type="cellIs" dxfId="408" priority="329" stopIfTrue="1" operator="equal">
      <formula>"Prepackaged Food Products"</formula>
    </cfRule>
    <cfRule type="cellIs" dxfId="407" priority="330" stopIfTrue="1" operator="equal">
      <formula>"Novel Foods "</formula>
    </cfRule>
    <cfRule type="cellIs" dxfId="406" priority="331" stopIfTrue="1" operator="equal">
      <formula>"Food Additives"</formula>
    </cfRule>
    <cfRule type="cellIs" dxfId="405" priority="332" stopIfTrue="1" operator="equal">
      <formula>"Foods Chain"</formula>
    </cfRule>
    <cfRule type="cellIs" dxfId="404" priority="333" stopIfTrue="1" operator="equal">
      <formula>"Food Additives    "</formula>
    </cfRule>
    <cfRule type="cellIs" dxfId="403" priority="334" stopIfTrue="1" operator="equal">
      <formula>"Food  Labelling"</formula>
    </cfRule>
    <cfRule type="cellIs" dxfId="402" priority="335" stopIfTrue="1" operator="equal">
      <formula>"Food Labelling "</formula>
    </cfRule>
    <cfRule type="cellIs" dxfId="401" priority="336" stopIfTrue="1" operator="equal">
      <formula>"Halal Foods "</formula>
    </cfRule>
    <cfRule type="cellIs" dxfId="400" priority="337" stopIfTrue="1" operator="equal">
      <formula>"Food "</formula>
    </cfRule>
    <cfRule type="cellIs" dxfId="399" priority="338" stopIfTrue="1" operator="equal">
      <formula>"Food for human consumption ."</formula>
    </cfRule>
    <cfRule type="cellIs" dxfId="398" priority="339" stopIfTrue="1" operator="equal">
      <formula>"Food flavourings and food ingredients with flavouring properties"</formula>
    </cfRule>
    <cfRule type="cellIs" dxfId="397" priority="340" stopIfTrue="1" operator="equal">
      <formula>"Food for human consumption"</formula>
    </cfRule>
    <cfRule type="cellIs" dxfId="396" priority="341" stopIfTrue="1" operator="equal">
      <formula>"Specifications for food additives"</formula>
    </cfRule>
    <cfRule type="cellIs" dxfId="395" priority="342" stopIfTrue="1" operator="equal">
      <formula>"Food"</formula>
    </cfRule>
    <cfRule type="cellIs" dxfId="394" priority="343" stopIfTrue="1" operator="equal">
      <formula>"Foodstuffs"</formula>
    </cfRule>
    <cfRule type="cellIs" dxfId="393" priority="344" stopIfTrue="1" operator="equal">
      <formula>" Food"</formula>
    </cfRule>
    <cfRule type="cellIs" dxfId="392" priority="345" stopIfTrue="1" operator="equal">
      <formula>"Food labeling"</formula>
    </cfRule>
    <cfRule type="cellIs" dxfId="391" priority="346" stopIfTrue="1" operator="equal">
      <formula>"Food"</formula>
    </cfRule>
  </conditionalFormatting>
  <conditionalFormatting sqref="F21">
    <cfRule type="cellIs" dxfId="390" priority="290" stopIfTrue="1" operator="equal">
      <formula>"All foods (ICS: 67)      "</formula>
    </cfRule>
    <cfRule type="cellIs" dxfId="389" priority="291" stopIfTrue="1" operator="equal">
      <formula>"All foods (ICS: 67)     "</formula>
    </cfRule>
    <cfRule type="cellIs" dxfId="388" priority="292" stopIfTrue="1" operator="equal">
      <formula>"All food (ICS: 67)   "</formula>
    </cfRule>
    <cfRule type="cellIs" dxfId="387" priority="293" stopIfTrue="1" operator="equal">
      <formula>"All food(ICS:67)"</formula>
    </cfRule>
    <cfRule type="cellIs" dxfId="386" priority="294" stopIfTrue="1" operator="equal">
      <formula>"food products"</formula>
    </cfRule>
    <cfRule type="cellIs" dxfId="385" priority="295" stopIfTrue="1" operator="equal">
      <formula>"Food in General  (ICS:67.040) "</formula>
    </cfRule>
    <cfRule type="cellIs" dxfId="384" priority="296" stopIfTrue="1" operator="equal">
      <formula>"Food in General (ICS:67.040)    "</formula>
    </cfRule>
    <cfRule type="cellIs" dxfId="383" priority="297" stopIfTrue="1" operator="equal">
      <formula>"Prepackaged Food Products"</formula>
    </cfRule>
    <cfRule type="cellIs" dxfId="382" priority="298" stopIfTrue="1" operator="equal">
      <formula>"Novel Foods "</formula>
    </cfRule>
    <cfRule type="cellIs" dxfId="381" priority="299" stopIfTrue="1" operator="equal">
      <formula>"Food Additives"</formula>
    </cfRule>
    <cfRule type="cellIs" dxfId="380" priority="300" stopIfTrue="1" operator="equal">
      <formula>"Foods Chain"</formula>
    </cfRule>
    <cfRule type="cellIs" dxfId="379" priority="301" stopIfTrue="1" operator="equal">
      <formula>"Food Additives    "</formula>
    </cfRule>
    <cfRule type="cellIs" dxfId="378" priority="302" stopIfTrue="1" operator="equal">
      <formula>"Food  Labelling"</formula>
    </cfRule>
    <cfRule type="cellIs" dxfId="377" priority="303" stopIfTrue="1" operator="equal">
      <formula>"Food Labelling "</formula>
    </cfRule>
    <cfRule type="cellIs" dxfId="376" priority="304" stopIfTrue="1" operator="equal">
      <formula>"Halal Foods "</formula>
    </cfRule>
    <cfRule type="cellIs" dxfId="375" priority="305" stopIfTrue="1" operator="equal">
      <formula>"Food "</formula>
    </cfRule>
    <cfRule type="cellIs" dxfId="374" priority="306" stopIfTrue="1" operator="equal">
      <formula>"Food for human consumption ."</formula>
    </cfRule>
    <cfRule type="cellIs" dxfId="373" priority="307" stopIfTrue="1" operator="equal">
      <formula>"Food flavourings and food ingredients with flavouring properties"</formula>
    </cfRule>
    <cfRule type="cellIs" dxfId="372" priority="308" stopIfTrue="1" operator="equal">
      <formula>"Food for human consumption"</formula>
    </cfRule>
    <cfRule type="cellIs" dxfId="371" priority="309" stopIfTrue="1" operator="equal">
      <formula>"Specifications for food additives"</formula>
    </cfRule>
    <cfRule type="cellIs" dxfId="370" priority="310" stopIfTrue="1" operator="equal">
      <formula>"Food"</formula>
    </cfRule>
    <cfRule type="cellIs" dxfId="369" priority="311" stopIfTrue="1" operator="equal">
      <formula>"Foodstuffs"</formula>
    </cfRule>
    <cfRule type="cellIs" dxfId="368" priority="312" stopIfTrue="1" operator="equal">
      <formula>" Food"</formula>
    </cfRule>
    <cfRule type="cellIs" dxfId="367" priority="313" stopIfTrue="1" operator="equal">
      <formula>"Food labeling"</formula>
    </cfRule>
    <cfRule type="cellIs" dxfId="366" priority="314" stopIfTrue="1" operator="equal">
      <formula>"Food"</formula>
    </cfRule>
  </conditionalFormatting>
  <conditionalFormatting sqref="F20">
    <cfRule type="cellIs" dxfId="365" priority="263" stopIfTrue="1" operator="equal">
      <formula>"All foods (ICS: 67)      "</formula>
    </cfRule>
    <cfRule type="cellIs" dxfId="364" priority="264" stopIfTrue="1" operator="equal">
      <formula>"All foods (ICS: 67)     "</formula>
    </cfRule>
    <cfRule type="cellIs" dxfId="363" priority="265" stopIfTrue="1" operator="equal">
      <formula>"All food (ICS: 67)   "</formula>
    </cfRule>
    <cfRule type="cellIs" dxfId="362" priority="266" stopIfTrue="1" operator="equal">
      <formula>"All food(ICS:67)"</formula>
    </cfRule>
    <cfRule type="cellIs" dxfId="361" priority="267" stopIfTrue="1" operator="equal">
      <formula>"food products"</formula>
    </cfRule>
    <cfRule type="cellIs" dxfId="360" priority="268" stopIfTrue="1" operator="equal">
      <formula>"Food in General  (ICS:67.040) "</formula>
    </cfRule>
    <cfRule type="cellIs" dxfId="359" priority="269" stopIfTrue="1" operator="equal">
      <formula>"Food in General (ICS:67.040)    "</formula>
    </cfRule>
    <cfRule type="cellIs" dxfId="358" priority="270" stopIfTrue="1" operator="equal">
      <formula>"Prepackaged Food Products"</formula>
    </cfRule>
    <cfRule type="cellIs" dxfId="357" priority="271" stopIfTrue="1" operator="equal">
      <formula>"Novel Foods "</formula>
    </cfRule>
    <cfRule type="cellIs" dxfId="356" priority="272" stopIfTrue="1" operator="equal">
      <formula>"Food Additives"</formula>
    </cfRule>
    <cfRule type="cellIs" dxfId="355" priority="273" stopIfTrue="1" operator="equal">
      <formula>"Foods Chain"</formula>
    </cfRule>
    <cfRule type="cellIs" dxfId="354" priority="274" stopIfTrue="1" operator="equal">
      <formula>"Food Additives    "</formula>
    </cfRule>
    <cfRule type="cellIs" dxfId="353" priority="275" stopIfTrue="1" operator="equal">
      <formula>"Food  Labelling"</formula>
    </cfRule>
    <cfRule type="cellIs" dxfId="352" priority="276" stopIfTrue="1" operator="equal">
      <formula>"Food Labelling "</formula>
    </cfRule>
    <cfRule type="cellIs" dxfId="351" priority="277" stopIfTrue="1" operator="equal">
      <formula>"Halal Foods "</formula>
    </cfRule>
    <cfRule type="cellIs" dxfId="350" priority="278" stopIfTrue="1" operator="equal">
      <formula>"Food "</formula>
    </cfRule>
    <cfRule type="cellIs" dxfId="349" priority="279" stopIfTrue="1" operator="equal">
      <formula>"Food for human consumption ."</formula>
    </cfRule>
    <cfRule type="cellIs" dxfId="348" priority="280" stopIfTrue="1" operator="equal">
      <formula>"Food flavourings and food ingredients with flavouring properties"</formula>
    </cfRule>
    <cfRule type="cellIs" dxfId="347" priority="281" stopIfTrue="1" operator="equal">
      <formula>"Food for human consumption"</formula>
    </cfRule>
    <cfRule type="cellIs" dxfId="346" priority="282" stopIfTrue="1" operator="equal">
      <formula>"Specifications for food additives"</formula>
    </cfRule>
    <cfRule type="cellIs" dxfId="345" priority="283" stopIfTrue="1" operator="equal">
      <formula>"Food"</formula>
    </cfRule>
    <cfRule type="cellIs" dxfId="344" priority="284" stopIfTrue="1" operator="equal">
      <formula>"Foodstuffs"</formula>
    </cfRule>
    <cfRule type="cellIs" dxfId="343" priority="285" stopIfTrue="1" operator="equal">
      <formula>" Food"</formula>
    </cfRule>
    <cfRule type="cellIs" dxfId="342" priority="286" stopIfTrue="1" operator="equal">
      <formula>"Food labeling"</formula>
    </cfRule>
    <cfRule type="cellIs" dxfId="341" priority="287" stopIfTrue="1" operator="equal">
      <formula>"Food"</formula>
    </cfRule>
  </conditionalFormatting>
  <conditionalFormatting sqref="F19">
    <cfRule type="cellIs" dxfId="340" priority="236" stopIfTrue="1" operator="equal">
      <formula>"All foods (ICS: 67)      "</formula>
    </cfRule>
    <cfRule type="cellIs" dxfId="339" priority="237" stopIfTrue="1" operator="equal">
      <formula>"All foods (ICS: 67)     "</formula>
    </cfRule>
    <cfRule type="cellIs" dxfId="338" priority="238" stopIfTrue="1" operator="equal">
      <formula>"All food (ICS: 67)   "</formula>
    </cfRule>
    <cfRule type="cellIs" dxfId="337" priority="239" stopIfTrue="1" operator="equal">
      <formula>"All food(ICS:67)"</formula>
    </cfRule>
    <cfRule type="cellIs" dxfId="336" priority="240" stopIfTrue="1" operator="equal">
      <formula>"food products"</formula>
    </cfRule>
    <cfRule type="cellIs" dxfId="335" priority="241" stopIfTrue="1" operator="equal">
      <formula>"Food in General  (ICS:67.040) "</formula>
    </cfRule>
    <cfRule type="cellIs" dxfId="334" priority="242" stopIfTrue="1" operator="equal">
      <formula>"Food in General (ICS:67.040)    "</formula>
    </cfRule>
    <cfRule type="cellIs" dxfId="333" priority="243" stopIfTrue="1" operator="equal">
      <formula>"Prepackaged Food Products"</formula>
    </cfRule>
    <cfRule type="cellIs" dxfId="332" priority="244" stopIfTrue="1" operator="equal">
      <formula>"Novel Foods "</formula>
    </cfRule>
    <cfRule type="cellIs" dxfId="331" priority="245" stopIfTrue="1" operator="equal">
      <formula>"Food Additives"</formula>
    </cfRule>
    <cfRule type="cellIs" dxfId="330" priority="246" stopIfTrue="1" operator="equal">
      <formula>"Foods Chain"</formula>
    </cfRule>
    <cfRule type="cellIs" dxfId="329" priority="247" stopIfTrue="1" operator="equal">
      <formula>"Food Additives    "</formula>
    </cfRule>
    <cfRule type="cellIs" dxfId="328" priority="248" stopIfTrue="1" operator="equal">
      <formula>"Food  Labelling"</formula>
    </cfRule>
    <cfRule type="cellIs" dxfId="327" priority="249" stopIfTrue="1" operator="equal">
      <formula>"Food Labelling "</formula>
    </cfRule>
    <cfRule type="cellIs" dxfId="326" priority="250" stopIfTrue="1" operator="equal">
      <formula>"Halal Foods "</formula>
    </cfRule>
    <cfRule type="cellIs" dxfId="325" priority="251" stopIfTrue="1" operator="equal">
      <formula>"Food "</formula>
    </cfRule>
    <cfRule type="cellIs" dxfId="324" priority="252" stopIfTrue="1" operator="equal">
      <formula>"Food for human consumption ."</formula>
    </cfRule>
    <cfRule type="cellIs" dxfId="323" priority="253" stopIfTrue="1" operator="equal">
      <formula>"Food flavourings and food ingredients with flavouring properties"</formula>
    </cfRule>
    <cfRule type="cellIs" dxfId="322" priority="254" stopIfTrue="1" operator="equal">
      <formula>"Food for human consumption"</formula>
    </cfRule>
    <cfRule type="cellIs" dxfId="321" priority="255" stopIfTrue="1" operator="equal">
      <formula>"Specifications for food additives"</formula>
    </cfRule>
    <cfRule type="cellIs" dxfId="320" priority="256" stopIfTrue="1" operator="equal">
      <formula>"Food"</formula>
    </cfRule>
    <cfRule type="cellIs" dxfId="319" priority="257" stopIfTrue="1" operator="equal">
      <formula>"Foodstuffs"</formula>
    </cfRule>
    <cfRule type="cellIs" dxfId="318" priority="258" stopIfTrue="1" operator="equal">
      <formula>" Food"</formula>
    </cfRule>
    <cfRule type="cellIs" dxfId="317" priority="259" stopIfTrue="1" operator="equal">
      <formula>"Food labeling"</formula>
    </cfRule>
    <cfRule type="cellIs" dxfId="316" priority="260" stopIfTrue="1" operator="equal">
      <formula>"Food"</formula>
    </cfRule>
  </conditionalFormatting>
  <conditionalFormatting sqref="F18">
    <cfRule type="cellIs" dxfId="315" priority="184" stopIfTrue="1" operator="equal">
      <formula>"All foods (ICS: 67)      "</formula>
    </cfRule>
    <cfRule type="cellIs" dxfId="314" priority="185" stopIfTrue="1" operator="equal">
      <formula>"All foods (ICS: 67)     "</formula>
    </cfRule>
    <cfRule type="cellIs" dxfId="313" priority="186" stopIfTrue="1" operator="equal">
      <formula>"All food (ICS: 67)   "</formula>
    </cfRule>
    <cfRule type="cellIs" dxfId="312" priority="187" stopIfTrue="1" operator="equal">
      <formula>"All food(ICS:67)"</formula>
    </cfRule>
    <cfRule type="cellIs" dxfId="311" priority="188" stopIfTrue="1" operator="equal">
      <formula>"food products"</formula>
    </cfRule>
    <cfRule type="cellIs" dxfId="310" priority="189" stopIfTrue="1" operator="equal">
      <formula>"Food in General  (ICS:67.040) "</formula>
    </cfRule>
    <cfRule type="cellIs" dxfId="309" priority="190" stopIfTrue="1" operator="equal">
      <formula>"Food in General (ICS:67.040)    "</formula>
    </cfRule>
    <cfRule type="cellIs" dxfId="308" priority="191" stopIfTrue="1" operator="equal">
      <formula>"Prepackaged Food Products"</formula>
    </cfRule>
    <cfRule type="cellIs" dxfId="307" priority="192" stopIfTrue="1" operator="equal">
      <formula>"Novel Foods "</formula>
    </cfRule>
    <cfRule type="cellIs" dxfId="306" priority="193" stopIfTrue="1" operator="equal">
      <formula>"Food Additives"</formula>
    </cfRule>
    <cfRule type="cellIs" dxfId="305" priority="194" stopIfTrue="1" operator="equal">
      <formula>"Foods Chain"</formula>
    </cfRule>
    <cfRule type="cellIs" dxfId="304" priority="195" stopIfTrue="1" operator="equal">
      <formula>"Food Additives    "</formula>
    </cfRule>
    <cfRule type="cellIs" dxfId="303" priority="196" stopIfTrue="1" operator="equal">
      <formula>"Food  Labelling"</formula>
    </cfRule>
    <cfRule type="cellIs" dxfId="302" priority="197" stopIfTrue="1" operator="equal">
      <formula>"Food Labelling "</formula>
    </cfRule>
    <cfRule type="cellIs" dxfId="301" priority="198" stopIfTrue="1" operator="equal">
      <formula>"Halal Foods "</formula>
    </cfRule>
    <cfRule type="cellIs" dxfId="300" priority="199" stopIfTrue="1" operator="equal">
      <formula>"Food "</formula>
    </cfRule>
    <cfRule type="cellIs" dxfId="299" priority="200" stopIfTrue="1" operator="equal">
      <formula>"Food for human consumption ."</formula>
    </cfRule>
    <cfRule type="cellIs" dxfId="298" priority="201" stopIfTrue="1" operator="equal">
      <formula>"Food flavourings and food ingredients with flavouring properties"</formula>
    </cfRule>
    <cfRule type="cellIs" dxfId="297" priority="202" stopIfTrue="1" operator="equal">
      <formula>"Food for human consumption"</formula>
    </cfRule>
    <cfRule type="cellIs" dxfId="296" priority="203" stopIfTrue="1" operator="equal">
      <formula>"Specifications for food additives"</formula>
    </cfRule>
    <cfRule type="cellIs" dxfId="295" priority="204" stopIfTrue="1" operator="equal">
      <formula>"Food"</formula>
    </cfRule>
    <cfRule type="cellIs" dxfId="294" priority="205" stopIfTrue="1" operator="equal">
      <formula>"Foodstuffs"</formula>
    </cfRule>
    <cfRule type="cellIs" dxfId="293" priority="206" stopIfTrue="1" operator="equal">
      <formula>" Food"</formula>
    </cfRule>
    <cfRule type="cellIs" dxfId="292" priority="207" stopIfTrue="1" operator="equal">
      <formula>"Food labeling"</formula>
    </cfRule>
    <cfRule type="cellIs" dxfId="291" priority="208" stopIfTrue="1" operator="equal">
      <formula>"Food"</formula>
    </cfRule>
  </conditionalFormatting>
  <conditionalFormatting sqref="F17">
    <cfRule type="cellIs" dxfId="290" priority="134" stopIfTrue="1" operator="equal">
      <formula>"All foods (ICS: 67)      "</formula>
    </cfRule>
    <cfRule type="cellIs" dxfId="289" priority="135" stopIfTrue="1" operator="equal">
      <formula>"All foods (ICS: 67)     "</formula>
    </cfRule>
    <cfRule type="cellIs" dxfId="288" priority="136" stopIfTrue="1" operator="equal">
      <formula>"All food (ICS: 67)   "</formula>
    </cfRule>
    <cfRule type="cellIs" dxfId="287" priority="137" stopIfTrue="1" operator="equal">
      <formula>"All food(ICS:67)"</formula>
    </cfRule>
    <cfRule type="cellIs" dxfId="286" priority="138" stopIfTrue="1" operator="equal">
      <formula>"food products"</formula>
    </cfRule>
    <cfRule type="cellIs" dxfId="285" priority="139" stopIfTrue="1" operator="equal">
      <formula>"Food in General  (ICS:67.040) "</formula>
    </cfRule>
    <cfRule type="cellIs" dxfId="284" priority="140" stopIfTrue="1" operator="equal">
      <formula>"Food in General (ICS:67.040)    "</formula>
    </cfRule>
    <cfRule type="cellIs" dxfId="283" priority="141" stopIfTrue="1" operator="equal">
      <formula>"Prepackaged Food Products"</formula>
    </cfRule>
    <cfRule type="cellIs" dxfId="282" priority="142" stopIfTrue="1" operator="equal">
      <formula>"Novel Foods "</formula>
    </cfRule>
    <cfRule type="cellIs" dxfId="281" priority="143" stopIfTrue="1" operator="equal">
      <formula>"Food Additives"</formula>
    </cfRule>
    <cfRule type="cellIs" dxfId="280" priority="144" stopIfTrue="1" operator="equal">
      <formula>"Foods Chain"</formula>
    </cfRule>
    <cfRule type="cellIs" dxfId="279" priority="145" stopIfTrue="1" operator="equal">
      <formula>"Food Additives    "</formula>
    </cfRule>
    <cfRule type="cellIs" dxfId="278" priority="146" stopIfTrue="1" operator="equal">
      <formula>"Food  Labelling"</formula>
    </cfRule>
    <cfRule type="cellIs" dxfId="277" priority="147" stopIfTrue="1" operator="equal">
      <formula>"Food Labelling "</formula>
    </cfRule>
    <cfRule type="cellIs" dxfId="276" priority="148" stopIfTrue="1" operator="equal">
      <formula>"Halal Foods "</formula>
    </cfRule>
    <cfRule type="cellIs" dxfId="275" priority="149" stopIfTrue="1" operator="equal">
      <formula>"Food "</formula>
    </cfRule>
    <cfRule type="cellIs" dxfId="274" priority="150" stopIfTrue="1" operator="equal">
      <formula>"Food for human consumption ."</formula>
    </cfRule>
    <cfRule type="cellIs" dxfId="273" priority="151" stopIfTrue="1" operator="equal">
      <formula>"Food flavourings and food ingredients with flavouring properties"</formula>
    </cfRule>
    <cfRule type="cellIs" dxfId="272" priority="152" stopIfTrue="1" operator="equal">
      <formula>"Food for human consumption"</formula>
    </cfRule>
    <cfRule type="cellIs" dxfId="271" priority="153" stopIfTrue="1" operator="equal">
      <formula>"Specifications for food additives"</formula>
    </cfRule>
    <cfRule type="cellIs" dxfId="270" priority="154" stopIfTrue="1" operator="equal">
      <formula>"Food"</formula>
    </cfRule>
    <cfRule type="cellIs" dxfId="269" priority="155" stopIfTrue="1" operator="equal">
      <formula>"Foodstuffs"</formula>
    </cfRule>
    <cfRule type="cellIs" dxfId="268" priority="156" stopIfTrue="1" operator="equal">
      <formula>" Food"</formula>
    </cfRule>
    <cfRule type="cellIs" dxfId="267" priority="157" stopIfTrue="1" operator="equal">
      <formula>"Food labeling"</formula>
    </cfRule>
    <cfRule type="cellIs" dxfId="266" priority="158" stopIfTrue="1" operator="equal">
      <formula>"Food"</formula>
    </cfRule>
  </conditionalFormatting>
  <conditionalFormatting sqref="F16">
    <cfRule type="cellIs" dxfId="265" priority="82" stopIfTrue="1" operator="equal">
      <formula>"All foods (ICS: 67)      "</formula>
    </cfRule>
    <cfRule type="cellIs" dxfId="264" priority="83" stopIfTrue="1" operator="equal">
      <formula>"All foods (ICS: 67)     "</formula>
    </cfRule>
    <cfRule type="cellIs" dxfId="263" priority="84" stopIfTrue="1" operator="equal">
      <formula>"All food (ICS: 67)   "</formula>
    </cfRule>
    <cfRule type="cellIs" dxfId="262" priority="85" stopIfTrue="1" operator="equal">
      <formula>"All food(ICS:67)"</formula>
    </cfRule>
    <cfRule type="cellIs" dxfId="261" priority="86" stopIfTrue="1" operator="equal">
      <formula>"food products"</formula>
    </cfRule>
    <cfRule type="cellIs" dxfId="260" priority="87" stopIfTrue="1" operator="equal">
      <formula>"Food in General  (ICS:67.040) "</formula>
    </cfRule>
    <cfRule type="cellIs" dxfId="259" priority="88" stopIfTrue="1" operator="equal">
      <formula>"Food in General (ICS:67.040)    "</formula>
    </cfRule>
    <cfRule type="cellIs" dxfId="258" priority="89" stopIfTrue="1" operator="equal">
      <formula>"Prepackaged Food Products"</formula>
    </cfRule>
    <cfRule type="cellIs" dxfId="257" priority="90" stopIfTrue="1" operator="equal">
      <formula>"Novel Foods "</formula>
    </cfRule>
    <cfRule type="cellIs" dxfId="256" priority="91" stopIfTrue="1" operator="equal">
      <formula>"Food Additives"</formula>
    </cfRule>
    <cfRule type="cellIs" dxfId="255" priority="92" stopIfTrue="1" operator="equal">
      <formula>"Foods Chain"</formula>
    </cfRule>
    <cfRule type="cellIs" dxfId="254" priority="93" stopIfTrue="1" operator="equal">
      <formula>"Food Additives    "</formula>
    </cfRule>
    <cfRule type="cellIs" dxfId="253" priority="94" stopIfTrue="1" operator="equal">
      <formula>"Food  Labelling"</formula>
    </cfRule>
    <cfRule type="cellIs" dxfId="252" priority="95" stopIfTrue="1" operator="equal">
      <formula>"Food Labelling "</formula>
    </cfRule>
    <cfRule type="cellIs" dxfId="251" priority="96" stopIfTrue="1" operator="equal">
      <formula>"Halal Foods "</formula>
    </cfRule>
    <cfRule type="cellIs" dxfId="250" priority="97" stopIfTrue="1" operator="equal">
      <formula>"Food "</formula>
    </cfRule>
    <cfRule type="cellIs" dxfId="249" priority="98" stopIfTrue="1" operator="equal">
      <formula>"Food for human consumption ."</formula>
    </cfRule>
    <cfRule type="cellIs" dxfId="248" priority="99" stopIfTrue="1" operator="equal">
      <formula>"Food flavourings and food ingredients with flavouring properties"</formula>
    </cfRule>
    <cfRule type="cellIs" dxfId="247" priority="100" stopIfTrue="1" operator="equal">
      <formula>"Food for human consumption"</formula>
    </cfRule>
    <cfRule type="cellIs" dxfId="246" priority="101" stopIfTrue="1" operator="equal">
      <formula>"Specifications for food additives"</formula>
    </cfRule>
    <cfRule type="cellIs" dxfId="245" priority="102" stopIfTrue="1" operator="equal">
      <formula>"Food"</formula>
    </cfRule>
    <cfRule type="cellIs" dxfId="244" priority="103" stopIfTrue="1" operator="equal">
      <formula>"Foodstuffs"</formula>
    </cfRule>
    <cfRule type="cellIs" dxfId="243" priority="104" stopIfTrue="1" operator="equal">
      <formula>" Food"</formula>
    </cfRule>
    <cfRule type="cellIs" dxfId="242" priority="105" stopIfTrue="1" operator="equal">
      <formula>"Food labeling"</formula>
    </cfRule>
    <cfRule type="cellIs" dxfId="241" priority="106" stopIfTrue="1" operator="equal">
      <formula>"Food"</formula>
    </cfRule>
  </conditionalFormatting>
  <conditionalFormatting sqref="I1:I5 I16:I1048576">
    <cfRule type="cellIs" dxfId="240" priority="79" operator="greaterThan">
      <formula>42779</formula>
    </cfRule>
  </conditionalFormatting>
  <conditionalFormatting sqref="F13:F15">
    <cfRule type="cellIs" dxfId="239" priority="54" stopIfTrue="1" operator="equal">
      <formula>"All foods (ICS: 67)      "</formula>
    </cfRule>
    <cfRule type="cellIs" dxfId="238" priority="55" stopIfTrue="1" operator="equal">
      <formula>"All foods (ICS: 67)     "</formula>
    </cfRule>
    <cfRule type="cellIs" dxfId="237" priority="56" stopIfTrue="1" operator="equal">
      <formula>"All food (ICS: 67)   "</formula>
    </cfRule>
    <cfRule type="cellIs" dxfId="236" priority="57" stopIfTrue="1" operator="equal">
      <formula>"All food(ICS:67)"</formula>
    </cfRule>
    <cfRule type="cellIs" dxfId="235" priority="58" stopIfTrue="1" operator="equal">
      <formula>"food products"</formula>
    </cfRule>
    <cfRule type="cellIs" dxfId="234" priority="59" stopIfTrue="1" operator="equal">
      <formula>"Food in General  (ICS:67.040) "</formula>
    </cfRule>
    <cfRule type="cellIs" dxfId="233" priority="60" stopIfTrue="1" operator="equal">
      <formula>"Food in General (ICS:67.040)    "</formula>
    </cfRule>
    <cfRule type="cellIs" dxfId="232" priority="61" stopIfTrue="1" operator="equal">
      <formula>"Prepackaged Food Products"</formula>
    </cfRule>
    <cfRule type="cellIs" dxfId="231" priority="62" stopIfTrue="1" operator="equal">
      <formula>"Novel Foods "</formula>
    </cfRule>
    <cfRule type="cellIs" dxfId="230" priority="63" stopIfTrue="1" operator="equal">
      <formula>"Food Additives"</formula>
    </cfRule>
    <cfRule type="cellIs" dxfId="229" priority="64" stopIfTrue="1" operator="equal">
      <formula>"Foods Chain"</formula>
    </cfRule>
    <cfRule type="cellIs" dxfId="228" priority="65" stopIfTrue="1" operator="equal">
      <formula>"Food Additives    "</formula>
    </cfRule>
    <cfRule type="cellIs" dxfId="227" priority="66" stopIfTrue="1" operator="equal">
      <formula>"Food  Labelling"</formula>
    </cfRule>
    <cfRule type="cellIs" dxfId="226" priority="67" stopIfTrue="1" operator="equal">
      <formula>"Food Labelling "</formula>
    </cfRule>
    <cfRule type="cellIs" dxfId="225" priority="68" stopIfTrue="1" operator="equal">
      <formula>"Halal Foods "</formula>
    </cfRule>
    <cfRule type="cellIs" dxfId="224" priority="69" stopIfTrue="1" operator="equal">
      <formula>"Food "</formula>
    </cfRule>
    <cfRule type="cellIs" dxfId="223" priority="70" stopIfTrue="1" operator="equal">
      <formula>"Food for human consumption ."</formula>
    </cfRule>
    <cfRule type="cellIs" dxfId="222" priority="71" stopIfTrue="1" operator="equal">
      <formula>"Food flavourings and food ingredients with flavouring properties"</formula>
    </cfRule>
    <cfRule type="cellIs" dxfId="221" priority="72" stopIfTrue="1" operator="equal">
      <formula>"Food for human consumption"</formula>
    </cfRule>
    <cfRule type="cellIs" dxfId="220" priority="73" stopIfTrue="1" operator="equal">
      <formula>"Specifications for food additives"</formula>
    </cfRule>
    <cfRule type="cellIs" dxfId="219" priority="74" stopIfTrue="1" operator="equal">
      <formula>"Food"</formula>
    </cfRule>
    <cfRule type="cellIs" dxfId="218" priority="75" stopIfTrue="1" operator="equal">
      <formula>"Foodstuffs"</formula>
    </cfRule>
    <cfRule type="cellIs" dxfId="217" priority="76" stopIfTrue="1" operator="equal">
      <formula>" Food"</formula>
    </cfRule>
    <cfRule type="cellIs" dxfId="216" priority="77" stopIfTrue="1" operator="equal">
      <formula>"Food labeling"</formula>
    </cfRule>
    <cfRule type="cellIs" dxfId="215" priority="78" stopIfTrue="1" operator="equal">
      <formula>"Food"</formula>
    </cfRule>
  </conditionalFormatting>
  <conditionalFormatting sqref="I13:I15">
    <cfRule type="cellIs" dxfId="214" priority="53" operator="greaterThan">
      <formula>42779</formula>
    </cfRule>
  </conditionalFormatting>
  <conditionalFormatting sqref="F12">
    <cfRule type="cellIs" dxfId="213" priority="28" stopIfTrue="1" operator="equal">
      <formula>"All foods (ICS: 67)      "</formula>
    </cfRule>
    <cfRule type="cellIs" dxfId="212" priority="29" stopIfTrue="1" operator="equal">
      <formula>"All foods (ICS: 67)     "</formula>
    </cfRule>
    <cfRule type="cellIs" dxfId="211" priority="30" stopIfTrue="1" operator="equal">
      <formula>"All food (ICS: 67)   "</formula>
    </cfRule>
    <cfRule type="cellIs" dxfId="210" priority="31" stopIfTrue="1" operator="equal">
      <formula>"All food(ICS:67)"</formula>
    </cfRule>
    <cfRule type="cellIs" dxfId="209" priority="32" stopIfTrue="1" operator="equal">
      <formula>"food products"</formula>
    </cfRule>
    <cfRule type="cellIs" dxfId="208" priority="33" stopIfTrue="1" operator="equal">
      <formula>"Food in General  (ICS:67.040) "</formula>
    </cfRule>
    <cfRule type="cellIs" dxfId="207" priority="34" stopIfTrue="1" operator="equal">
      <formula>"Food in General (ICS:67.040)    "</formula>
    </cfRule>
    <cfRule type="cellIs" dxfId="206" priority="35" stopIfTrue="1" operator="equal">
      <formula>"Prepackaged Food Products"</formula>
    </cfRule>
    <cfRule type="cellIs" dxfId="205" priority="36" stopIfTrue="1" operator="equal">
      <formula>"Novel Foods "</formula>
    </cfRule>
    <cfRule type="cellIs" dxfId="204" priority="37" stopIfTrue="1" operator="equal">
      <formula>"Food Additives"</formula>
    </cfRule>
    <cfRule type="cellIs" dxfId="203" priority="38" stopIfTrue="1" operator="equal">
      <formula>"Foods Chain"</formula>
    </cfRule>
    <cfRule type="cellIs" dxfId="202" priority="39" stopIfTrue="1" operator="equal">
      <formula>"Food Additives    "</formula>
    </cfRule>
    <cfRule type="cellIs" dxfId="201" priority="40" stopIfTrue="1" operator="equal">
      <formula>"Food  Labelling"</formula>
    </cfRule>
    <cfRule type="cellIs" dxfId="200" priority="41" stopIfTrue="1" operator="equal">
      <formula>"Food Labelling "</formula>
    </cfRule>
    <cfRule type="cellIs" dxfId="199" priority="42" stopIfTrue="1" operator="equal">
      <formula>"Halal Foods "</formula>
    </cfRule>
    <cfRule type="cellIs" dxfId="198" priority="43" stopIfTrue="1" operator="equal">
      <formula>"Food "</formula>
    </cfRule>
    <cfRule type="cellIs" dxfId="197" priority="44" stopIfTrue="1" operator="equal">
      <formula>"Food for human consumption ."</formula>
    </cfRule>
    <cfRule type="cellIs" dxfId="196" priority="45" stopIfTrue="1" operator="equal">
      <formula>"Food flavourings and food ingredients with flavouring properties"</formula>
    </cfRule>
    <cfRule type="cellIs" dxfId="195" priority="46" stopIfTrue="1" operator="equal">
      <formula>"Food for human consumption"</formula>
    </cfRule>
    <cfRule type="cellIs" dxfId="194" priority="47" stopIfTrue="1" operator="equal">
      <formula>"Specifications for food additives"</formula>
    </cfRule>
    <cfRule type="cellIs" dxfId="193" priority="48" stopIfTrue="1" operator="equal">
      <formula>"Food"</formula>
    </cfRule>
    <cfRule type="cellIs" dxfId="192" priority="49" stopIfTrue="1" operator="equal">
      <formula>"Foodstuffs"</formula>
    </cfRule>
    <cfRule type="cellIs" dxfId="191" priority="50" stopIfTrue="1" operator="equal">
      <formula>" Food"</formula>
    </cfRule>
    <cfRule type="cellIs" dxfId="190" priority="51" stopIfTrue="1" operator="equal">
      <formula>"Food labeling"</formula>
    </cfRule>
    <cfRule type="cellIs" dxfId="189" priority="52" stopIfTrue="1" operator="equal">
      <formula>"Food"</formula>
    </cfRule>
  </conditionalFormatting>
  <conditionalFormatting sqref="I12">
    <cfRule type="cellIs" dxfId="188" priority="27" operator="greaterThan">
      <formula>42779</formula>
    </cfRule>
  </conditionalFormatting>
  <conditionalFormatting sqref="F7:F11">
    <cfRule type="cellIs" dxfId="187" priority="2" stopIfTrue="1" operator="equal">
      <formula>"All foods (ICS: 67)      "</formula>
    </cfRule>
    <cfRule type="cellIs" dxfId="186" priority="3" stopIfTrue="1" operator="equal">
      <formula>"All foods (ICS: 67)     "</formula>
    </cfRule>
    <cfRule type="cellIs" dxfId="185" priority="4" stopIfTrue="1" operator="equal">
      <formula>"All food (ICS: 67)   "</formula>
    </cfRule>
    <cfRule type="cellIs" dxfId="184" priority="5" stopIfTrue="1" operator="equal">
      <formula>"All food(ICS:67)"</formula>
    </cfRule>
    <cfRule type="cellIs" dxfId="183" priority="6" stopIfTrue="1" operator="equal">
      <formula>"food products"</formula>
    </cfRule>
    <cfRule type="cellIs" dxfId="182" priority="7" stopIfTrue="1" operator="equal">
      <formula>"Food in General  (ICS:67.040) "</formula>
    </cfRule>
    <cfRule type="cellIs" dxfId="181" priority="8" stopIfTrue="1" operator="equal">
      <formula>"Food in General (ICS:67.040)    "</formula>
    </cfRule>
    <cfRule type="cellIs" dxfId="180" priority="9" stopIfTrue="1" operator="equal">
      <formula>"Prepackaged Food Products"</formula>
    </cfRule>
    <cfRule type="cellIs" dxfId="179" priority="10" stopIfTrue="1" operator="equal">
      <formula>"Novel Foods "</formula>
    </cfRule>
    <cfRule type="cellIs" dxfId="178" priority="11" stopIfTrue="1" operator="equal">
      <formula>"Food Additives"</formula>
    </cfRule>
    <cfRule type="cellIs" dxfId="177" priority="12" stopIfTrue="1" operator="equal">
      <formula>"Foods Chain"</formula>
    </cfRule>
    <cfRule type="cellIs" dxfId="176" priority="13" stopIfTrue="1" operator="equal">
      <formula>"Food Additives    "</formula>
    </cfRule>
    <cfRule type="cellIs" dxfId="175" priority="14" stopIfTrue="1" operator="equal">
      <formula>"Food  Labelling"</formula>
    </cfRule>
    <cfRule type="cellIs" dxfId="174" priority="15" stopIfTrue="1" operator="equal">
      <formula>"Food Labelling "</formula>
    </cfRule>
    <cfRule type="cellIs" dxfId="173" priority="16" stopIfTrue="1" operator="equal">
      <formula>"Halal Foods "</formula>
    </cfRule>
    <cfRule type="cellIs" dxfId="172" priority="17" stopIfTrue="1" operator="equal">
      <formula>"Food "</formula>
    </cfRule>
    <cfRule type="cellIs" dxfId="171" priority="18" stopIfTrue="1" operator="equal">
      <formula>"Food for human consumption ."</formula>
    </cfRule>
    <cfRule type="cellIs" dxfId="170" priority="19" stopIfTrue="1" operator="equal">
      <formula>"Food flavourings and food ingredients with flavouring properties"</formula>
    </cfRule>
    <cfRule type="cellIs" dxfId="169" priority="20" stopIfTrue="1" operator="equal">
      <formula>"Food for human consumption"</formula>
    </cfRule>
    <cfRule type="cellIs" dxfId="168" priority="21" stopIfTrue="1" operator="equal">
      <formula>"Specifications for food additives"</formula>
    </cfRule>
    <cfRule type="cellIs" dxfId="167" priority="22" stopIfTrue="1" operator="equal">
      <formula>"Food"</formula>
    </cfRule>
    <cfRule type="cellIs" dxfId="166" priority="23" stopIfTrue="1" operator="equal">
      <formula>"Foodstuffs"</formula>
    </cfRule>
    <cfRule type="cellIs" dxfId="165" priority="24" stopIfTrue="1" operator="equal">
      <formula>" Food"</formula>
    </cfRule>
    <cfRule type="cellIs" dxfId="164" priority="25" stopIfTrue="1" operator="equal">
      <formula>"Food labeling"</formula>
    </cfRule>
    <cfRule type="cellIs" dxfId="163" priority="26" stopIfTrue="1" operator="equal">
      <formula>"Food"</formula>
    </cfRule>
  </conditionalFormatting>
  <conditionalFormatting sqref="I7:I11">
    <cfRule type="cellIs" dxfId="162" priority="1" operator="greaterThan">
      <formula>42779</formula>
    </cfRule>
  </conditionalFormatting>
  <hyperlinks>
    <hyperlink ref="J45" r:id="rId1"/>
    <hyperlink ref="J461" r:id="rId2"/>
    <hyperlink ref="J175" r:id="rId3"/>
    <hyperlink ref="J43" r:id="rId4"/>
    <hyperlink ref="J42" r:id="rId5"/>
    <hyperlink ref="J19" r:id="rId6"/>
  </hyperlinks>
  <printOptions horizontalCentered="1"/>
  <pageMargins left="0.23622047244094491" right="0.23622047244094491" top="0.74803149606299213" bottom="0.74803149606299213" header="0.70866141732283472" footer="0.31496062992125984"/>
  <pageSetup paperSize="9" scale="44" fitToHeight="0" orientation="landscape" r:id="rId7"/>
  <drawing r:id="rId8"/>
  <legacyDrawing r:id="rId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W1939"/>
  <sheetViews>
    <sheetView zoomScale="55" zoomScaleNormal="55" workbookViewId="0">
      <pane xSplit="1" topLeftCell="B1" activePane="topRight" state="frozen"/>
      <selection pane="topRight" activeCell="K7" sqref="K7"/>
    </sheetView>
  </sheetViews>
  <sheetFormatPr defaultRowHeight="15" outlineLevelRow="1" outlineLevelCol="1" x14ac:dyDescent="0.25"/>
  <cols>
    <col min="1" max="1" width="21.7109375" customWidth="1"/>
    <col min="2" max="2" width="21.140625" customWidth="1"/>
    <col min="3" max="3" width="25.42578125" customWidth="1"/>
    <col min="4" max="4" width="30.42578125" customWidth="1"/>
    <col min="5" max="5" width="14.28515625" customWidth="1"/>
    <col min="6" max="6" width="21" customWidth="1"/>
    <col min="7" max="7" width="14" customWidth="1"/>
    <col min="8" max="9" width="16.28515625" customWidth="1"/>
    <col min="10" max="10" width="20.5703125" customWidth="1"/>
    <col min="11" max="11" width="16.28515625" customWidth="1"/>
    <col min="12" max="12" width="16.28515625" hidden="1" customWidth="1" outlineLevel="1"/>
    <col min="13" max="13" width="15.5703125" hidden="1" customWidth="1" outlineLevel="1"/>
    <col min="14" max="14" width="22.140625" customWidth="1" collapsed="1"/>
    <col min="15" max="15" width="36.42578125" customWidth="1"/>
  </cols>
  <sheetData>
    <row r="2" spans="1:16" x14ac:dyDescent="0.25">
      <c r="C2" s="1" t="s">
        <v>9345</v>
      </c>
    </row>
    <row r="6" spans="1:16" ht="30" x14ac:dyDescent="0.25">
      <c r="A6" s="12" t="s">
        <v>0</v>
      </c>
      <c r="B6" s="12" t="s">
        <v>1</v>
      </c>
      <c r="C6" s="12" t="s">
        <v>2</v>
      </c>
      <c r="D6" s="12" t="s">
        <v>3</v>
      </c>
      <c r="E6" s="9" t="s">
        <v>4</v>
      </c>
      <c r="F6" s="9" t="s">
        <v>5</v>
      </c>
      <c r="G6" s="9" t="s">
        <v>6</v>
      </c>
      <c r="H6" s="9" t="s">
        <v>7</v>
      </c>
      <c r="I6" s="9" t="s">
        <v>2421</v>
      </c>
      <c r="J6" s="11" t="s">
        <v>2420</v>
      </c>
      <c r="K6" s="11" t="s">
        <v>8</v>
      </c>
      <c r="L6" s="11" t="s">
        <v>9</v>
      </c>
      <c r="M6" s="11" t="s">
        <v>10</v>
      </c>
      <c r="N6" s="11" t="s">
        <v>11</v>
      </c>
      <c r="O6" s="7" t="s">
        <v>8887</v>
      </c>
      <c r="P6" s="1"/>
    </row>
    <row r="7" spans="1:16" s="19" customFormat="1" ht="247.5" x14ac:dyDescent="0.25">
      <c r="A7" s="25" t="s">
        <v>77</v>
      </c>
      <c r="B7" s="25" t="s">
        <v>9401</v>
      </c>
      <c r="C7" s="25" t="s">
        <v>9404</v>
      </c>
      <c r="D7" s="25" t="s">
        <v>9403</v>
      </c>
      <c r="E7" s="26">
        <v>42783</v>
      </c>
      <c r="F7" s="25" t="s">
        <v>9402</v>
      </c>
      <c r="G7" s="25"/>
      <c r="H7" s="25" t="s">
        <v>2425</v>
      </c>
      <c r="I7" s="25"/>
      <c r="J7" s="26">
        <v>42843</v>
      </c>
      <c r="K7" s="32" t="s">
        <v>9405</v>
      </c>
      <c r="L7" s="24"/>
      <c r="M7" s="24"/>
      <c r="N7" s="37"/>
      <c r="O7" s="37"/>
      <c r="P7" s="14"/>
    </row>
    <row r="8" spans="1:16" ht="210" x14ac:dyDescent="0.25">
      <c r="A8" s="25" t="s">
        <v>12</v>
      </c>
      <c r="B8" s="25" t="s">
        <v>9371</v>
      </c>
      <c r="C8" s="25" t="s">
        <v>9372</v>
      </c>
      <c r="D8" s="25" t="s">
        <v>9373</v>
      </c>
      <c r="E8" s="25" t="str">
        <f t="shared" ref="E8" si="0">"17/02/2017"</f>
        <v>17/02/2017</v>
      </c>
      <c r="F8" s="25" t="s">
        <v>9203</v>
      </c>
      <c r="G8" s="25" t="s">
        <v>9204</v>
      </c>
      <c r="H8" s="25" t="s">
        <v>2425</v>
      </c>
      <c r="I8" s="25" t="s">
        <v>9374</v>
      </c>
      <c r="J8" s="26"/>
      <c r="K8" s="32" t="str">
        <f>HYPERLINK("https://docs.wto.org/imrd/directdoc.asp?DDFDocuments/t/G/SPS/NEU198.DOC","EN")</f>
        <v>EN</v>
      </c>
      <c r="L8" s="32"/>
      <c r="M8" s="32"/>
      <c r="N8" s="38"/>
      <c r="O8" s="37"/>
      <c r="P8" s="16"/>
    </row>
    <row r="9" spans="1:16" ht="45" x14ac:dyDescent="0.25">
      <c r="A9" s="25" t="s">
        <v>31</v>
      </c>
      <c r="B9" s="25" t="s">
        <v>9358</v>
      </c>
      <c r="C9" s="25"/>
      <c r="D9" s="25"/>
      <c r="E9" s="25" t="str">
        <f t="shared" ref="E9" si="1">"16/02/2017"</f>
        <v>16/02/2017</v>
      </c>
      <c r="F9" s="25" t="s">
        <v>5423</v>
      </c>
      <c r="G9" s="25" t="s">
        <v>8909</v>
      </c>
      <c r="H9" s="25" t="s">
        <v>2425</v>
      </c>
      <c r="I9" s="25" t="s">
        <v>2491</v>
      </c>
      <c r="J9" s="26"/>
      <c r="K9" s="32" t="str">
        <f>HYPERLINK("https://docs.wto.org/imrd/directdoc.asp?DDFDocuments/t/G/SPS/NTHA219A3.DOC","EN")</f>
        <v>EN</v>
      </c>
      <c r="L9" s="32"/>
      <c r="M9" s="32"/>
      <c r="N9" s="38"/>
      <c r="O9" s="37"/>
    </row>
    <row r="10" spans="1:16" ht="409.5" x14ac:dyDescent="0.25">
      <c r="A10" s="25" t="s">
        <v>31</v>
      </c>
      <c r="B10" s="25" t="s">
        <v>9355</v>
      </c>
      <c r="C10" s="25" t="s">
        <v>9356</v>
      </c>
      <c r="D10" s="25" t="s">
        <v>9357</v>
      </c>
      <c r="E10" s="25" t="str">
        <f t="shared" ref="E10" si="2">"16/02/2017"</f>
        <v>16/02/2017</v>
      </c>
      <c r="F10" s="25" t="s">
        <v>2821</v>
      </c>
      <c r="G10" s="25" t="s">
        <v>8909</v>
      </c>
      <c r="H10" s="25" t="s">
        <v>2425</v>
      </c>
      <c r="I10" s="25" t="s">
        <v>8955</v>
      </c>
      <c r="J10" s="26"/>
      <c r="K10" s="32" t="str">
        <f>HYPERLINK("https://docs.wto.org/imrd/directdoc.asp?DDFDocuments/t/G/SPS/NTHA240.DOC","EN")</f>
        <v>EN</v>
      </c>
      <c r="L10" s="32"/>
      <c r="M10" s="32"/>
      <c r="N10" s="38"/>
      <c r="O10" s="37"/>
    </row>
    <row r="11" spans="1:16" s="19" customFormat="1" ht="150" x14ac:dyDescent="0.25">
      <c r="A11" s="25" t="s">
        <v>1908</v>
      </c>
      <c r="B11" s="25" t="s">
        <v>9349</v>
      </c>
      <c r="C11" s="25" t="s">
        <v>9350</v>
      </c>
      <c r="D11" s="25" t="s">
        <v>9351</v>
      </c>
      <c r="E11" s="25" t="s">
        <v>9352</v>
      </c>
      <c r="F11" s="25" t="s">
        <v>9353</v>
      </c>
      <c r="G11" s="25" t="s">
        <v>8962</v>
      </c>
      <c r="H11" s="25" t="s">
        <v>2425</v>
      </c>
      <c r="I11" s="25" t="s">
        <v>9354</v>
      </c>
      <c r="J11" s="26"/>
      <c r="K11" s="32" t="str">
        <f>HYPERLINK("https://docs.wto.org/imrd/directdoc.asp?DDFDocuments/t/G/SPS/NCAN1091.DOC","EN")</f>
        <v>EN</v>
      </c>
      <c r="L11" s="32"/>
      <c r="M11" s="32"/>
      <c r="N11" s="38"/>
      <c r="O11" s="37"/>
      <c r="P11" s="14"/>
    </row>
    <row r="12" spans="1:16" ht="409.5" x14ac:dyDescent="0.25">
      <c r="A12" s="25" t="s">
        <v>115</v>
      </c>
      <c r="B12" s="25" t="s">
        <v>9346</v>
      </c>
      <c r="C12" s="25"/>
      <c r="D12" s="25"/>
      <c r="E12" s="25" t="str">
        <f t="shared" ref="E12" si="3">"16/02/2017"</f>
        <v>16/02/2017</v>
      </c>
      <c r="F12" s="25" t="s">
        <v>9347</v>
      </c>
      <c r="G12" s="25" t="s">
        <v>8909</v>
      </c>
      <c r="H12" s="25" t="s">
        <v>2467</v>
      </c>
      <c r="I12" s="25" t="s">
        <v>9348</v>
      </c>
      <c r="J12" s="26">
        <v>42842</v>
      </c>
      <c r="K12" s="32" t="str">
        <f>HYPERLINK("https://docs.wto.org/imrd/directdoc.asp?DDFDocuments/t/G/SPS/NJPN471A2.DOC","EN")</f>
        <v>EN</v>
      </c>
      <c r="L12" s="32"/>
      <c r="M12" s="32"/>
      <c r="N12" s="38"/>
      <c r="O12" s="37"/>
    </row>
    <row r="13" spans="1:16" ht="105" x14ac:dyDescent="0.25">
      <c r="A13" s="25" t="s">
        <v>121</v>
      </c>
      <c r="B13" s="25" t="s">
        <v>9342</v>
      </c>
      <c r="C13" s="25" t="s">
        <v>9213</v>
      </c>
      <c r="D13" s="25" t="s">
        <v>9343</v>
      </c>
      <c r="E13" s="25" t="str">
        <f t="shared" ref="E13:E14" si="4">"10/02/2017"</f>
        <v>10/02/2017</v>
      </c>
      <c r="F13" s="25" t="s">
        <v>9344</v>
      </c>
      <c r="G13" s="25"/>
      <c r="H13" s="25" t="s">
        <v>2425</v>
      </c>
      <c r="I13" s="25" t="s">
        <v>2461</v>
      </c>
      <c r="J13" s="26">
        <v>42836</v>
      </c>
      <c r="K13" s="32" t="str">
        <f>HYPERLINK("https://docs.wto.org/imrd/directdoc.asp?DDFDocuments/t/G/SPS/NIND170.DOC")</f>
        <v>https://docs.wto.org/imrd/directdoc.asp?DDFDocuments/t/G/SPS/NIND170.DOC</v>
      </c>
      <c r="L13" s="32"/>
      <c r="M13" s="32"/>
      <c r="N13" s="38"/>
      <c r="O13" s="37"/>
    </row>
    <row r="14" spans="1:16" ht="195" x14ac:dyDescent="0.25">
      <c r="A14" s="25" t="s">
        <v>121</v>
      </c>
      <c r="B14" s="25" t="s">
        <v>9339</v>
      </c>
      <c r="C14" s="25" t="s">
        <v>9213</v>
      </c>
      <c r="D14" s="25" t="s">
        <v>9340</v>
      </c>
      <c r="E14" s="25" t="str">
        <f t="shared" si="4"/>
        <v>10/02/2017</v>
      </c>
      <c r="F14" s="25" t="s">
        <v>9341</v>
      </c>
      <c r="G14" s="25"/>
      <c r="H14" s="25" t="s">
        <v>2425</v>
      </c>
      <c r="I14" s="25" t="s">
        <v>2426</v>
      </c>
      <c r="J14" s="26">
        <v>42836</v>
      </c>
      <c r="K14" s="32" t="str">
        <f>HYPERLINK("https://docs.wto.org/imrd/directdoc.asp?DDFDocuments/t/G/SPS/NIND165.DOC")</f>
        <v>https://docs.wto.org/imrd/directdoc.asp?DDFDocuments/t/G/SPS/NIND165.DOC</v>
      </c>
      <c r="L14" s="32"/>
      <c r="M14" s="32"/>
      <c r="N14" s="38"/>
      <c r="O14" s="37"/>
    </row>
    <row r="15" spans="1:16" s="19" customFormat="1" ht="105" x14ac:dyDescent="0.25">
      <c r="A15" s="25" t="s">
        <v>121</v>
      </c>
      <c r="B15" s="25" t="s">
        <v>9327</v>
      </c>
      <c r="C15" s="25" t="s">
        <v>9328</v>
      </c>
      <c r="D15" s="25" t="s">
        <v>9329</v>
      </c>
      <c r="E15" s="25" t="str">
        <f>"10/02/2017"</f>
        <v>10/02/2017</v>
      </c>
      <c r="F15" s="25" t="s">
        <v>9330</v>
      </c>
      <c r="G15" s="25" t="s">
        <v>8909</v>
      </c>
      <c r="H15" s="25" t="s">
        <v>2425</v>
      </c>
      <c r="I15" s="25" t="s">
        <v>8955</v>
      </c>
      <c r="J15" s="26">
        <v>42836</v>
      </c>
      <c r="K15" s="32" t="str">
        <f>HYPERLINK("https://docs.wto.org/imrd/directdoc.asp?DDFDocuments/t/G/SPS/NIND166.DOC","EN")</f>
        <v>EN</v>
      </c>
      <c r="L15" s="18"/>
      <c r="M15" s="24"/>
      <c r="N15" s="37"/>
      <c r="O15" s="37"/>
      <c r="P15" s="14"/>
    </row>
    <row r="16" spans="1:16" ht="150" x14ac:dyDescent="0.25">
      <c r="A16" s="2" t="s">
        <v>77</v>
      </c>
      <c r="B16" s="2" t="s">
        <v>9322</v>
      </c>
      <c r="C16" s="2" t="s">
        <v>9323</v>
      </c>
      <c r="D16" s="2" t="s">
        <v>9324</v>
      </c>
      <c r="E16" s="2" t="str">
        <f t="shared" ref="E16" si="5">"09/02/2017"</f>
        <v>09/02/2017</v>
      </c>
      <c r="F16" s="2" t="s">
        <v>9325</v>
      </c>
      <c r="G16" s="2" t="s">
        <v>9326</v>
      </c>
      <c r="H16" s="2" t="s">
        <v>2425</v>
      </c>
      <c r="I16" s="2" t="s">
        <v>9086</v>
      </c>
      <c r="J16" s="3">
        <v>42835</v>
      </c>
      <c r="K16" s="32" t="str">
        <f>HYPERLINK("https://docs.wto.org/imrd/directdoc.asp?DDFDocuments/t/G/SPS/NTPKM424.DOC","EN")</f>
        <v>EN</v>
      </c>
      <c r="L16" s="18"/>
      <c r="M16" s="18"/>
      <c r="N16" s="18"/>
      <c r="O16" s="18"/>
    </row>
    <row r="17" spans="1:17" ht="135" x14ac:dyDescent="0.25">
      <c r="A17" s="2" t="s">
        <v>77</v>
      </c>
      <c r="B17" s="2" t="s">
        <v>9319</v>
      </c>
      <c r="C17" s="2" t="s">
        <v>9320</v>
      </c>
      <c r="D17" s="2" t="s">
        <v>9321</v>
      </c>
      <c r="E17" s="2" t="str">
        <f>"07/02/2017"</f>
        <v>07/02/2017</v>
      </c>
      <c r="F17" s="2" t="s">
        <v>2435</v>
      </c>
      <c r="G17" s="2" t="s">
        <v>8909</v>
      </c>
      <c r="H17" s="2" t="s">
        <v>2425</v>
      </c>
      <c r="I17" s="2" t="s">
        <v>9086</v>
      </c>
      <c r="J17" s="3">
        <v>42833</v>
      </c>
      <c r="K17" s="32" t="str">
        <f>HYPERLINK("https://docs.wto.org/imrd/directdoc.asp?DDFDocuments/t/G/SPS/NTPKM423.DOC","EN")</f>
        <v>EN</v>
      </c>
      <c r="L17" s="18"/>
      <c r="M17" s="18"/>
      <c r="N17" s="41"/>
      <c r="O17" s="41"/>
      <c r="P17" s="16"/>
    </row>
    <row r="18" spans="1:17" s="19" customFormat="1" ht="360" x14ac:dyDescent="0.25">
      <c r="A18" s="2" t="s">
        <v>25</v>
      </c>
      <c r="B18" s="2" t="s">
        <v>9316</v>
      </c>
      <c r="C18" s="2" t="s">
        <v>9317</v>
      </c>
      <c r="D18" s="2" t="s">
        <v>9318</v>
      </c>
      <c r="E18" s="2">
        <v>42772</v>
      </c>
      <c r="F18" s="2" t="s">
        <v>210</v>
      </c>
      <c r="G18" s="2"/>
      <c r="H18" s="25" t="s">
        <v>2425</v>
      </c>
      <c r="I18" s="25" t="s">
        <v>4362</v>
      </c>
      <c r="J18" s="26">
        <v>42832</v>
      </c>
      <c r="K18" s="32" t="str">
        <f>HYPERLINK("https://docs.wto.org/imrd/directdoc.asp?DDFDocuments/t/G/SPS/NKOR557.DOC")</f>
        <v>https://docs.wto.org/imrd/directdoc.asp?DDFDocuments/t/G/SPS/NKOR557.DOC</v>
      </c>
      <c r="L18" s="18"/>
      <c r="M18" s="18"/>
      <c r="N18" s="37"/>
      <c r="O18" s="37"/>
      <c r="P18" s="14"/>
    </row>
    <row r="19" spans="1:17" s="19" customFormat="1" ht="75" x14ac:dyDescent="0.25">
      <c r="A19" s="2" t="s">
        <v>42</v>
      </c>
      <c r="B19" s="2" t="s">
        <v>9250</v>
      </c>
      <c r="C19" s="2" t="s">
        <v>9251</v>
      </c>
      <c r="D19" s="2" t="s">
        <v>9252</v>
      </c>
      <c r="E19" s="2" t="str">
        <f>"30/01/2017"</f>
        <v>30/01/2017</v>
      </c>
      <c r="F19" s="2" t="s">
        <v>9253</v>
      </c>
      <c r="G19" s="2" t="s">
        <v>9254</v>
      </c>
      <c r="H19" s="2" t="s">
        <v>9092</v>
      </c>
      <c r="I19" s="2" t="s">
        <v>8955</v>
      </c>
      <c r="J19" s="3">
        <v>42782</v>
      </c>
      <c r="K19" s="32" t="str">
        <f>HYPERLINK("https://docs.wto.org/imrd/directdoc.asp?DDFDocuments/t/G/SPS/NBRA1213.DOC","EN")</f>
        <v>EN</v>
      </c>
      <c r="L19" s="24"/>
      <c r="M19" s="24"/>
      <c r="N19" s="24"/>
      <c r="O19" s="24"/>
      <c r="P19" s="14"/>
    </row>
    <row r="20" spans="1:17" s="19" customFormat="1" ht="255" x14ac:dyDescent="0.25">
      <c r="A20" s="2" t="s">
        <v>115</v>
      </c>
      <c r="B20" s="2" t="s">
        <v>9235</v>
      </c>
      <c r="C20" s="2" t="s">
        <v>6940</v>
      </c>
      <c r="D20" s="2" t="s">
        <v>9236</v>
      </c>
      <c r="E20" s="2" t="str">
        <f t="shared" ref="E20:E35" si="6">"27/01/2017"</f>
        <v>27/01/2017</v>
      </c>
      <c r="F20" s="2" t="s">
        <v>9237</v>
      </c>
      <c r="G20" s="2" t="s">
        <v>9238</v>
      </c>
      <c r="H20" s="2" t="s">
        <v>2425</v>
      </c>
      <c r="I20" s="2" t="s">
        <v>8930</v>
      </c>
      <c r="J20" s="3">
        <v>42822</v>
      </c>
      <c r="K20" s="32" t="str">
        <f>HYPERLINK("https://docs.wto.org/imrd/directdoc.asp?DDFDocuments/t/G/SPS/NJPN499.DOC","EN")</f>
        <v>EN</v>
      </c>
      <c r="L20" s="24"/>
      <c r="M20" s="24"/>
      <c r="N20" s="24"/>
      <c r="O20" s="24"/>
      <c r="P20" s="14"/>
    </row>
    <row r="21" spans="1:17" s="19" customFormat="1" ht="409.5" x14ac:dyDescent="0.25">
      <c r="A21" s="2" t="s">
        <v>31</v>
      </c>
      <c r="B21" s="2" t="s">
        <v>9239</v>
      </c>
      <c r="C21" s="2" t="s">
        <v>9240</v>
      </c>
      <c r="D21" s="2" t="s">
        <v>9241</v>
      </c>
      <c r="E21" s="2" t="str">
        <f t="shared" si="6"/>
        <v>27/01/2017</v>
      </c>
      <c r="F21" s="2" t="s">
        <v>2811</v>
      </c>
      <c r="G21" s="2" t="s">
        <v>8909</v>
      </c>
      <c r="H21" s="2" t="s">
        <v>2425</v>
      </c>
      <c r="I21" s="2" t="s">
        <v>8930</v>
      </c>
      <c r="J21" s="3">
        <v>42822</v>
      </c>
      <c r="K21" s="32" t="str">
        <f>HYPERLINK("https://docs.wto.org/imrd/directdoc.asp?DDFDocuments/t/G/SPS/NTHA183R1.DOC","EN")</f>
        <v>EN</v>
      </c>
      <c r="L21" s="24"/>
      <c r="M21" s="24"/>
      <c r="N21" s="24"/>
      <c r="O21" s="24"/>
      <c r="P21" s="14"/>
    </row>
    <row r="22" spans="1:17" s="19" customFormat="1" ht="240" x14ac:dyDescent="0.25">
      <c r="A22" s="2" t="s">
        <v>115</v>
      </c>
      <c r="B22" s="2" t="s">
        <v>9242</v>
      </c>
      <c r="C22" s="2" t="s">
        <v>6940</v>
      </c>
      <c r="D22" s="2" t="s">
        <v>9243</v>
      </c>
      <c r="E22" s="2" t="str">
        <f t="shared" si="6"/>
        <v>27/01/2017</v>
      </c>
      <c r="F22" s="2" t="s">
        <v>9244</v>
      </c>
      <c r="G22" s="2" t="s">
        <v>9245</v>
      </c>
      <c r="H22" s="2" t="s">
        <v>2425</v>
      </c>
      <c r="I22" s="2" t="s">
        <v>8930</v>
      </c>
      <c r="J22" s="3">
        <v>42822</v>
      </c>
      <c r="K22" s="32" t="str">
        <f>HYPERLINK("https://docs.wto.org/imrd/directdoc.asp?DDFDocuments/t/G/SPS/NJPN500.DOC","EN")</f>
        <v>EN</v>
      </c>
      <c r="L22" s="24"/>
      <c r="M22" s="24"/>
      <c r="N22" s="37"/>
      <c r="O22" s="37"/>
      <c r="P22" s="14"/>
    </row>
    <row r="23" spans="1:17" ht="180" x14ac:dyDescent="0.25">
      <c r="A23" s="2" t="s">
        <v>42</v>
      </c>
      <c r="B23" s="2" t="s">
        <v>9311</v>
      </c>
      <c r="C23" s="2" t="s">
        <v>9312</v>
      </c>
      <c r="D23" s="2" t="s">
        <v>9313</v>
      </c>
      <c r="E23" s="2">
        <v>42765</v>
      </c>
      <c r="F23" s="2" t="s">
        <v>9314</v>
      </c>
      <c r="G23" s="2" t="s">
        <v>9315</v>
      </c>
      <c r="H23" s="2" t="s">
        <v>2573</v>
      </c>
      <c r="I23" s="2" t="s">
        <v>2461</v>
      </c>
      <c r="J23" s="3"/>
      <c r="K23" s="32" t="str">
        <f>HYPERLINK("https://docs.wto.org/imrd/directdoc.asp?DDFDocuments/t/G/SPS/NBRA1214.DOC")</f>
        <v>https://docs.wto.org/imrd/directdoc.asp?DDFDocuments/t/G/SPS/NBRA1214.DOC</v>
      </c>
      <c r="L23" s="24"/>
      <c r="M23" s="24"/>
      <c r="N23" s="3"/>
      <c r="O23" s="32"/>
      <c r="P23" s="37"/>
      <c r="Q23" s="39"/>
    </row>
    <row r="24" spans="1:17" s="19" customFormat="1" ht="409.5" x14ac:dyDescent="0.25">
      <c r="A24" s="2" t="s">
        <v>12</v>
      </c>
      <c r="B24" s="2" t="s">
        <v>9291</v>
      </c>
      <c r="C24" s="2" t="s">
        <v>9292</v>
      </c>
      <c r="D24" s="2" t="s">
        <v>9293</v>
      </c>
      <c r="E24" s="2" t="str">
        <f t="shared" ref="E24:E28" si="7">"06/02/2017"</f>
        <v>06/02/2017</v>
      </c>
      <c r="F24" s="2" t="s">
        <v>9294</v>
      </c>
      <c r="G24" s="2" t="s">
        <v>9204</v>
      </c>
      <c r="H24" s="2" t="s">
        <v>9033</v>
      </c>
      <c r="I24" s="2" t="s">
        <v>9295</v>
      </c>
      <c r="J24" s="3">
        <v>42832</v>
      </c>
      <c r="K24" s="32" t="str">
        <f>HYPERLINK("https://docs.wto.org/imrd/directdoc.asp?DDFDocuments/t/G/SPS/NEU190.DOC","EN")</f>
        <v>EN</v>
      </c>
      <c r="L24" s="18"/>
      <c r="M24" s="24"/>
      <c r="N24" s="37"/>
      <c r="O24" s="39"/>
      <c r="P24" s="14"/>
    </row>
    <row r="25" spans="1:17" s="19" customFormat="1" ht="409.5" x14ac:dyDescent="0.25">
      <c r="A25" s="2" t="s">
        <v>12</v>
      </c>
      <c r="B25" s="2" t="s">
        <v>9296</v>
      </c>
      <c r="C25" s="2" t="s">
        <v>9297</v>
      </c>
      <c r="D25" s="2" t="s">
        <v>9298</v>
      </c>
      <c r="E25" s="2" t="str">
        <f t="shared" si="7"/>
        <v>06/02/2017</v>
      </c>
      <c r="F25" s="2" t="s">
        <v>8719</v>
      </c>
      <c r="G25" s="2" t="s">
        <v>9204</v>
      </c>
      <c r="H25" s="2" t="s">
        <v>2425</v>
      </c>
      <c r="I25" s="2" t="s">
        <v>9295</v>
      </c>
      <c r="J25" s="3"/>
      <c r="K25" s="32" t="str">
        <f>HYPERLINK("https://docs.wto.org/imrd/directdoc.asp?DDFDocuments/t/G/SPS/NEU191.DOC","EN")</f>
        <v>EN</v>
      </c>
      <c r="L25" s="18"/>
      <c r="M25" s="24"/>
      <c r="N25" s="37"/>
      <c r="O25" s="39"/>
      <c r="P25" s="14"/>
    </row>
    <row r="26" spans="1:17" s="19" customFormat="1" ht="409.5" x14ac:dyDescent="0.25">
      <c r="A26" s="2" t="s">
        <v>12</v>
      </c>
      <c r="B26" s="2" t="s">
        <v>9299</v>
      </c>
      <c r="C26" s="2" t="s">
        <v>9300</v>
      </c>
      <c r="D26" s="2" t="s">
        <v>9301</v>
      </c>
      <c r="E26" s="2" t="str">
        <f t="shared" si="7"/>
        <v>06/02/2017</v>
      </c>
      <c r="F26" s="2" t="s">
        <v>9302</v>
      </c>
      <c r="G26" s="2" t="s">
        <v>9303</v>
      </c>
      <c r="H26" s="2" t="s">
        <v>2467</v>
      </c>
      <c r="I26" s="2" t="s">
        <v>9304</v>
      </c>
      <c r="J26" s="3"/>
      <c r="K26" s="32" t="str">
        <f>HYPERLINK("https://docs.wto.org/imrd/directdoc.asp?DDFDocuments/t/G/SPS/NEU192.DOC","EN")</f>
        <v>EN</v>
      </c>
      <c r="L26" s="18"/>
      <c r="M26" s="24"/>
      <c r="N26" s="37"/>
      <c r="O26" s="39"/>
      <c r="P26" s="14"/>
    </row>
    <row r="27" spans="1:17" s="19" customFormat="1" ht="225" x14ac:dyDescent="0.25">
      <c r="A27" s="2" t="s">
        <v>12</v>
      </c>
      <c r="B27" s="2" t="s">
        <v>9305</v>
      </c>
      <c r="C27" s="2" t="s">
        <v>9306</v>
      </c>
      <c r="D27" s="2" t="s">
        <v>9307</v>
      </c>
      <c r="E27" s="2" t="str">
        <f t="shared" si="7"/>
        <v>06/02/2017</v>
      </c>
      <c r="F27" s="2" t="s">
        <v>9203</v>
      </c>
      <c r="G27" s="2" t="s">
        <v>9204</v>
      </c>
      <c r="H27" s="2" t="s">
        <v>2425</v>
      </c>
      <c r="I27" s="2" t="s">
        <v>9205</v>
      </c>
      <c r="J27" s="3"/>
      <c r="K27" s="32" t="str">
        <f>HYPERLINK("https://docs.wto.org/imrd/directdoc.asp?DDFDocuments/t/G/SPS/NEU194.DOC","EN")</f>
        <v>EN</v>
      </c>
      <c r="L27" s="18"/>
      <c r="M27" s="24"/>
      <c r="N27" s="37"/>
      <c r="O27" s="39"/>
      <c r="P27" s="14"/>
    </row>
    <row r="28" spans="1:17" s="19" customFormat="1" ht="225" x14ac:dyDescent="0.25">
      <c r="A28" s="2" t="s">
        <v>12</v>
      </c>
      <c r="B28" s="2" t="s">
        <v>9308</v>
      </c>
      <c r="C28" s="2" t="s">
        <v>9309</v>
      </c>
      <c r="D28" s="2" t="s">
        <v>9310</v>
      </c>
      <c r="E28" s="2" t="str">
        <f t="shared" si="7"/>
        <v>06/02/2017</v>
      </c>
      <c r="F28" s="2" t="s">
        <v>8719</v>
      </c>
      <c r="G28" s="2" t="s">
        <v>9204</v>
      </c>
      <c r="H28" s="2" t="s">
        <v>2425</v>
      </c>
      <c r="I28" s="2" t="s">
        <v>9205</v>
      </c>
      <c r="J28" s="3"/>
      <c r="K28" s="32" t="str">
        <f>HYPERLINK("https://docs.wto.org/imrd/directdoc.asp?DDFDocuments/t/G/SPS/NEU193.DOC","EN")</f>
        <v>EN</v>
      </c>
      <c r="L28" s="18"/>
      <c r="M28" s="24"/>
      <c r="N28" s="37"/>
      <c r="O28" s="39"/>
      <c r="P28" s="14"/>
    </row>
    <row r="29" spans="1:17" s="19" customFormat="1" ht="390" x14ac:dyDescent="0.25">
      <c r="A29" s="2" t="s">
        <v>115</v>
      </c>
      <c r="B29" s="2" t="s">
        <v>9288</v>
      </c>
      <c r="C29" s="2"/>
      <c r="D29" s="2"/>
      <c r="E29" s="2" t="str">
        <f>"02/02/2017"</f>
        <v>02/02/2017</v>
      </c>
      <c r="F29" s="2" t="s">
        <v>9289</v>
      </c>
      <c r="G29" s="2" t="s">
        <v>9290</v>
      </c>
      <c r="H29" s="2" t="s">
        <v>2425</v>
      </c>
      <c r="I29" s="2" t="s">
        <v>8930</v>
      </c>
      <c r="J29" s="3"/>
      <c r="K29" s="32" t="str">
        <f>HYPERLINK("https://docs.wto.org/imrd/directdoc.asp?DDFDocuments/t/G/SPS/NJPN500C1.DOC","EN")</f>
        <v>EN</v>
      </c>
      <c r="L29" s="18"/>
      <c r="M29" s="24"/>
      <c r="N29" s="24"/>
      <c r="O29" s="40"/>
      <c r="P29" s="14"/>
    </row>
    <row r="30" spans="1:17" s="19" customFormat="1" ht="225" x14ac:dyDescent="0.25">
      <c r="A30" s="2" t="s">
        <v>12</v>
      </c>
      <c r="B30" s="2" t="s">
        <v>9273</v>
      </c>
      <c r="C30" s="2" t="s">
        <v>9274</v>
      </c>
      <c r="D30" s="2" t="s">
        <v>9275</v>
      </c>
      <c r="E30" s="2" t="str">
        <f t="shared" ref="E30:E34" si="8">"31/01/2017"</f>
        <v>31/01/2017</v>
      </c>
      <c r="F30" s="2" t="s">
        <v>9203</v>
      </c>
      <c r="G30" s="2" t="s">
        <v>9204</v>
      </c>
      <c r="H30" s="2" t="s">
        <v>2425</v>
      </c>
      <c r="I30" s="2" t="s">
        <v>9205</v>
      </c>
      <c r="J30" s="3"/>
      <c r="K30" s="32" t="str">
        <f>HYPERLINK("https://docs.wto.org/imrd/directdoc.asp?DDFDocuments/t/G/SPS/NEU187.DOC","EN")</f>
        <v>EN</v>
      </c>
      <c r="L30" s="18"/>
      <c r="M30" s="24"/>
      <c r="N30" s="24"/>
      <c r="O30" s="24"/>
      <c r="P30" s="14"/>
    </row>
    <row r="31" spans="1:17" s="19" customFormat="1" ht="225" x14ac:dyDescent="0.25">
      <c r="A31" s="2" t="s">
        <v>12</v>
      </c>
      <c r="B31" s="2" t="s">
        <v>9276</v>
      </c>
      <c r="C31" s="2" t="s">
        <v>9277</v>
      </c>
      <c r="D31" s="2" t="s">
        <v>9278</v>
      </c>
      <c r="E31" s="2" t="str">
        <f t="shared" si="8"/>
        <v>31/01/2017</v>
      </c>
      <c r="F31" s="2" t="s">
        <v>9203</v>
      </c>
      <c r="G31" s="2" t="s">
        <v>9204</v>
      </c>
      <c r="H31" s="2" t="s">
        <v>2425</v>
      </c>
      <c r="I31" s="2" t="s">
        <v>9205</v>
      </c>
      <c r="J31" s="3"/>
      <c r="K31" s="32" t="str">
        <f>HYPERLINK("https://docs.wto.org/imrd/directdoc.asp?DDFDocuments/t/G/SPS/NEU186.DOC","EN")</f>
        <v>EN</v>
      </c>
      <c r="L31" s="18"/>
      <c r="M31" s="24"/>
      <c r="N31" s="24"/>
      <c r="O31" s="24"/>
      <c r="P31" s="14"/>
    </row>
    <row r="32" spans="1:17" s="19" customFormat="1" ht="210" x14ac:dyDescent="0.25">
      <c r="A32" s="2" t="s">
        <v>12</v>
      </c>
      <c r="B32" s="2" t="s">
        <v>9279</v>
      </c>
      <c r="C32" s="2" t="s">
        <v>9280</v>
      </c>
      <c r="D32" s="2" t="s">
        <v>9230</v>
      </c>
      <c r="E32" s="2" t="str">
        <f t="shared" si="8"/>
        <v>31/01/2017</v>
      </c>
      <c r="F32" s="2" t="s">
        <v>9281</v>
      </c>
      <c r="G32" s="2" t="s">
        <v>9204</v>
      </c>
      <c r="H32" s="2" t="s">
        <v>2425</v>
      </c>
      <c r="I32" s="2" t="s">
        <v>9205</v>
      </c>
      <c r="J32" s="3"/>
      <c r="K32" s="32" t="str">
        <f>HYPERLINK("https://docs.wto.org/imrd/directdoc.asp?DDFDocuments/t/G/SPS/NEU185.DOC","EN")</f>
        <v>EN</v>
      </c>
      <c r="L32" s="18"/>
      <c r="M32" s="24"/>
      <c r="N32" s="24"/>
      <c r="O32" s="24"/>
      <c r="P32" s="14"/>
    </row>
    <row r="33" spans="1:16" s="19" customFormat="1" ht="210" x14ac:dyDescent="0.25">
      <c r="A33" s="2" t="s">
        <v>12</v>
      </c>
      <c r="B33" s="2" t="s">
        <v>9282</v>
      </c>
      <c r="C33" s="2" t="s">
        <v>9283</v>
      </c>
      <c r="D33" s="2" t="s">
        <v>9284</v>
      </c>
      <c r="E33" s="2" t="str">
        <f t="shared" si="8"/>
        <v>31/01/2017</v>
      </c>
      <c r="F33" s="2" t="s">
        <v>9203</v>
      </c>
      <c r="G33" s="2" t="s">
        <v>9204</v>
      </c>
      <c r="H33" s="2" t="s">
        <v>2425</v>
      </c>
      <c r="I33" s="2" t="s">
        <v>9205</v>
      </c>
      <c r="J33" s="3"/>
      <c r="K33" s="32" t="str">
        <f>HYPERLINK("https://docs.wto.org/imrd/directdoc.asp?DDFDocuments/t/G/SPS/NEU188.DOC","EN")</f>
        <v>EN</v>
      </c>
      <c r="L33" s="18"/>
      <c r="M33" s="24"/>
      <c r="N33" s="24"/>
      <c r="O33" s="24"/>
      <c r="P33" s="14"/>
    </row>
    <row r="34" spans="1:16" s="19" customFormat="1" ht="409.5" x14ac:dyDescent="0.25">
      <c r="A34" s="2" t="s">
        <v>12</v>
      </c>
      <c r="B34" s="2" t="s">
        <v>9285</v>
      </c>
      <c r="C34" s="2" t="s">
        <v>9286</v>
      </c>
      <c r="D34" s="2" t="s">
        <v>9287</v>
      </c>
      <c r="E34" s="2" t="str">
        <f t="shared" si="8"/>
        <v>31/01/2017</v>
      </c>
      <c r="F34" s="2" t="s">
        <v>9203</v>
      </c>
      <c r="G34" s="2" t="s">
        <v>9204</v>
      </c>
      <c r="H34" s="2" t="s">
        <v>2425</v>
      </c>
      <c r="I34" s="2" t="s">
        <v>9205</v>
      </c>
      <c r="J34" s="3"/>
      <c r="K34" s="32" t="str">
        <f>HYPERLINK("https://docs.wto.org/imrd/directdoc.asp?DDFDocuments/t/G/SPS/NEU189.DOC","EN")</f>
        <v>EN</v>
      </c>
      <c r="L34" s="18"/>
      <c r="M34" s="24"/>
      <c r="N34" s="24"/>
      <c r="O34" s="24"/>
      <c r="P34" s="14"/>
    </row>
    <row r="35" spans="1:16" s="19" customFormat="1" ht="210" x14ac:dyDescent="0.25">
      <c r="A35" s="2" t="s">
        <v>77</v>
      </c>
      <c r="B35" s="2" t="s">
        <v>9246</v>
      </c>
      <c r="C35" s="2" t="s">
        <v>9247</v>
      </c>
      <c r="D35" s="2" t="s">
        <v>9248</v>
      </c>
      <c r="E35" s="2" t="str">
        <f t="shared" si="6"/>
        <v>27/01/2017</v>
      </c>
      <c r="F35" s="2" t="s">
        <v>8921</v>
      </c>
      <c r="G35" s="2" t="s">
        <v>8909</v>
      </c>
      <c r="H35" s="2" t="s">
        <v>2467</v>
      </c>
      <c r="I35" s="2" t="s">
        <v>9249</v>
      </c>
      <c r="J35" s="3"/>
      <c r="K35" s="32" t="str">
        <f>HYPERLINK("https://docs.wto.org/imrd/directdoc.asp?DDFDocuments/t/G/SPS/NTPKM422.DOC","EN")</f>
        <v>EN</v>
      </c>
      <c r="L35" s="24"/>
      <c r="M35" s="24"/>
      <c r="N35" s="24"/>
      <c r="O35" s="24"/>
      <c r="P35" s="14"/>
    </row>
    <row r="36" spans="1:16" ht="405" x14ac:dyDescent="0.25">
      <c r="A36" s="2" t="s">
        <v>12</v>
      </c>
      <c r="B36" s="2" t="s">
        <v>9228</v>
      </c>
      <c r="C36" s="2" t="s">
        <v>9229</v>
      </c>
      <c r="D36" s="2" t="s">
        <v>9230</v>
      </c>
      <c r="E36" s="2" t="str">
        <f t="shared" ref="E36:E37" si="9">"26/01/2017"</f>
        <v>26/01/2017</v>
      </c>
      <c r="F36" s="2" t="s">
        <v>9203</v>
      </c>
      <c r="G36" s="2" t="s">
        <v>9204</v>
      </c>
      <c r="H36" s="2" t="s">
        <v>2425</v>
      </c>
      <c r="I36" s="2" t="s">
        <v>9205</v>
      </c>
      <c r="J36" s="3"/>
      <c r="K36" s="32" t="str">
        <f>HYPERLINK("https://docs.wto.org/imrd/directdoc.asp?DDFDocuments/t/G/SPS/NEU184.DOC","EN")</f>
        <v>EN</v>
      </c>
      <c r="L36" s="18"/>
      <c r="M36" s="18"/>
      <c r="N36" s="18"/>
      <c r="O36" s="18" t="str">
        <f>HYPERLINK("http://www.epingalert.org/en/#/details/G/SPS/N/EU/184","G/SPS/N/EU/184")</f>
        <v>G/SPS/N/EU/184</v>
      </c>
      <c r="P36" s="16" t="s">
        <v>9231</v>
      </c>
    </row>
    <row r="37" spans="1:16" ht="360" x14ac:dyDescent="0.25">
      <c r="A37" s="2" t="s">
        <v>12</v>
      </c>
      <c r="B37" s="2" t="s">
        <v>9232</v>
      </c>
      <c r="C37" s="2" t="s">
        <v>9233</v>
      </c>
      <c r="D37" s="2" t="s">
        <v>9234</v>
      </c>
      <c r="E37" s="3" t="str">
        <f t="shared" si="9"/>
        <v>26/01/2017</v>
      </c>
      <c r="F37" s="2" t="s">
        <v>9203</v>
      </c>
      <c r="G37" s="2" t="s">
        <v>9204</v>
      </c>
      <c r="H37" s="2" t="s">
        <v>2425</v>
      </c>
      <c r="I37" s="2" t="s">
        <v>9205</v>
      </c>
      <c r="J37" s="3"/>
      <c r="K37" s="32" t="str">
        <f>HYPERLINK("https://docs.wto.org/imrd/directdoc.asp?DDFDocuments/t/G/SPS/NEU183.DOC","EN")</f>
        <v>EN</v>
      </c>
      <c r="L37" s="18"/>
      <c r="M37" s="18"/>
      <c r="N37" s="18"/>
      <c r="O37" s="18"/>
      <c r="P37" s="16"/>
    </row>
    <row r="38" spans="1:16" s="19" customFormat="1" ht="146.25" x14ac:dyDescent="0.25">
      <c r="A38" s="2" t="s">
        <v>170</v>
      </c>
      <c r="B38" s="2" t="s">
        <v>9216</v>
      </c>
      <c r="C38" s="2" t="s">
        <v>9217</v>
      </c>
      <c r="D38" s="2" t="s">
        <v>9218</v>
      </c>
      <c r="E38" s="3">
        <v>42726</v>
      </c>
      <c r="F38" s="2" t="s">
        <v>8220</v>
      </c>
      <c r="G38" s="2"/>
      <c r="H38" s="2" t="s">
        <v>2425</v>
      </c>
      <c r="I38" s="2" t="s">
        <v>2461</v>
      </c>
      <c r="J38" s="3">
        <v>42786</v>
      </c>
      <c r="K38" s="32" t="str">
        <f>HYPERLINK("https://docs.wto.org/imrd/directdoc.asp?DDFDocuments/t/G/SPS/NSLV125.DOC")</f>
        <v>https://docs.wto.org/imrd/directdoc.asp?DDFDocuments/t/G/SPS/NSLV125.DOC</v>
      </c>
      <c r="L38" s="24"/>
      <c r="M38" s="24"/>
      <c r="N38" s="32"/>
      <c r="O38" s="24"/>
      <c r="P38" s="14"/>
    </row>
    <row r="39" spans="1:16" s="19" customFormat="1" ht="135" x14ac:dyDescent="0.25">
      <c r="A39" s="2" t="s">
        <v>121</v>
      </c>
      <c r="B39" s="2" t="s">
        <v>9212</v>
      </c>
      <c r="C39" s="2" t="s">
        <v>9213</v>
      </c>
      <c r="D39" s="2" t="s">
        <v>9214</v>
      </c>
      <c r="E39" s="3">
        <v>42754</v>
      </c>
      <c r="F39" s="2" t="s">
        <v>9215</v>
      </c>
      <c r="G39" s="2"/>
      <c r="H39" s="2" t="s">
        <v>2425</v>
      </c>
      <c r="I39" s="2" t="s">
        <v>2426</v>
      </c>
      <c r="J39" s="3">
        <v>42814</v>
      </c>
      <c r="K39" s="32" t="str">
        <f>HYPERLINK("https://docs.wto.org/imrd/directdoc.asp?DDFDocuments/t/G/SPS/NIND164.DOC")</f>
        <v>https://docs.wto.org/imrd/directdoc.asp?DDFDocuments/t/G/SPS/NIND164.DOC</v>
      </c>
      <c r="L39" s="24"/>
      <c r="M39" s="24"/>
      <c r="N39" s="24"/>
      <c r="O39" s="24"/>
      <c r="P39" s="14"/>
    </row>
    <row r="40" spans="1:16" s="19" customFormat="1" ht="225" x14ac:dyDescent="0.25">
      <c r="A40" s="2" t="s">
        <v>12</v>
      </c>
      <c r="B40" s="2" t="s">
        <v>9200</v>
      </c>
      <c r="C40" s="2" t="s">
        <v>9201</v>
      </c>
      <c r="D40" s="2" t="s">
        <v>9202</v>
      </c>
      <c r="E40" s="3" t="str">
        <f t="shared" ref="E40:E42" si="10">"25/01/2017"</f>
        <v>25/01/2017</v>
      </c>
      <c r="F40" s="2" t="s">
        <v>9203</v>
      </c>
      <c r="G40" s="2" t="s">
        <v>9204</v>
      </c>
      <c r="H40" s="2" t="s">
        <v>2425</v>
      </c>
      <c r="I40" s="2" t="s">
        <v>9205</v>
      </c>
      <c r="J40" s="3"/>
      <c r="K40" s="38" t="str">
        <f>HYPERLINK("https://docs.wto.org/imrd/directdoc.asp?DDFDocuments/t/G/SPS/NEU182.DOC","EN")</f>
        <v>EN</v>
      </c>
      <c r="L40" s="33"/>
      <c r="M40" s="37"/>
      <c r="N40" s="37"/>
      <c r="O40" s="24"/>
      <c r="P40" s="14"/>
    </row>
    <row r="41" spans="1:16" s="19" customFormat="1" ht="409.5" x14ac:dyDescent="0.25">
      <c r="A41" s="2" t="s">
        <v>12</v>
      </c>
      <c r="B41" s="2" t="s">
        <v>9206</v>
      </c>
      <c r="C41" s="2" t="s">
        <v>9207</v>
      </c>
      <c r="D41" s="2" t="s">
        <v>9208</v>
      </c>
      <c r="E41" s="3" t="str">
        <f t="shared" si="10"/>
        <v>25/01/2017</v>
      </c>
      <c r="F41" s="2" t="s">
        <v>9203</v>
      </c>
      <c r="G41" s="2" t="s">
        <v>9204</v>
      </c>
      <c r="H41" s="2" t="s">
        <v>2425</v>
      </c>
      <c r="I41" s="2" t="s">
        <v>9205</v>
      </c>
      <c r="J41" s="3"/>
      <c r="K41" s="32" t="str">
        <f>HYPERLINK("https://docs.wto.org/imrd/directdoc.asp?DDFDocuments/t/G/SPS/NEU181.DOC","EN")</f>
        <v>EN</v>
      </c>
      <c r="L41" s="33"/>
      <c r="M41" s="24"/>
      <c r="N41" s="24"/>
      <c r="O41" s="24"/>
      <c r="P41" s="14"/>
    </row>
    <row r="42" spans="1:16" s="19" customFormat="1" ht="409.5" x14ac:dyDescent="0.25">
      <c r="A42" s="2" t="s">
        <v>12</v>
      </c>
      <c r="B42" s="2" t="s">
        <v>9209</v>
      </c>
      <c r="C42" s="2" t="s">
        <v>9210</v>
      </c>
      <c r="D42" s="2" t="s">
        <v>9211</v>
      </c>
      <c r="E42" s="3" t="str">
        <f t="shared" si="10"/>
        <v>25/01/2017</v>
      </c>
      <c r="F42" s="2" t="s">
        <v>9203</v>
      </c>
      <c r="G42" s="2" t="s">
        <v>9204</v>
      </c>
      <c r="H42" s="2" t="s">
        <v>2425</v>
      </c>
      <c r="I42" s="2" t="s">
        <v>9205</v>
      </c>
      <c r="J42" s="3"/>
      <c r="K42" s="32" t="str">
        <f>HYPERLINK("https://docs.wto.org/imrd/directdoc.asp?DDFDocuments/t/G/SPS/NEU180.DOC","EN")</f>
        <v>EN</v>
      </c>
      <c r="L42" s="33"/>
      <c r="M42" s="24"/>
      <c r="N42" s="24"/>
      <c r="O42" s="24"/>
      <c r="P42" s="14"/>
    </row>
    <row r="43" spans="1:16" ht="409.5" x14ac:dyDescent="0.25">
      <c r="A43" s="2" t="s">
        <v>6732</v>
      </c>
      <c r="B43" s="2" t="s">
        <v>9171</v>
      </c>
      <c r="C43" s="2" t="s">
        <v>9172</v>
      </c>
      <c r="D43" s="2" t="s">
        <v>9173</v>
      </c>
      <c r="E43" s="3" t="str">
        <f>"05/01/2017"</f>
        <v>05/01/2017</v>
      </c>
      <c r="F43" s="2" t="s">
        <v>9174</v>
      </c>
      <c r="G43" s="2" t="s">
        <v>8909</v>
      </c>
      <c r="H43" s="2"/>
      <c r="I43" s="2"/>
      <c r="J43" s="3">
        <v>42800</v>
      </c>
      <c r="K43" s="32" t="str">
        <f>HYPERLINK("https://docs.wto.org/imrd/directdoc.asp?DDFDocuments/t/G/SPS/NCOL264.DOC","EN")</f>
        <v>EN</v>
      </c>
      <c r="M43" s="18"/>
      <c r="N43" s="18"/>
      <c r="O43" s="18"/>
    </row>
    <row r="44" spans="1:16" s="19" customFormat="1" ht="75" x14ac:dyDescent="0.25">
      <c r="A44" s="2" t="s">
        <v>1908</v>
      </c>
      <c r="B44" s="2" t="s">
        <v>9151</v>
      </c>
      <c r="C44" s="2"/>
      <c r="D44" s="2"/>
      <c r="E44" s="30" t="str">
        <f>"17/01/2017"</f>
        <v>17/01/2017</v>
      </c>
      <c r="F44" s="2" t="s">
        <v>9152</v>
      </c>
      <c r="G44" s="2" t="s">
        <v>8909</v>
      </c>
      <c r="H44" s="2" t="s">
        <v>2425</v>
      </c>
      <c r="I44" s="2" t="s">
        <v>2444</v>
      </c>
      <c r="J44" s="3"/>
      <c r="K44" s="2" t="str">
        <f>HYPERLINK("https://docs.wto.org/imrd/directdoc.asp?DDFDocuments/t/G/SPS/NCAN1063A1.DOC","EN")</f>
        <v>EN</v>
      </c>
      <c r="L44" s="18"/>
      <c r="M44" s="18"/>
      <c r="N44" s="18"/>
      <c r="O44" s="18"/>
      <c r="P44" s="14"/>
    </row>
    <row r="45" spans="1:16" s="19" customFormat="1" ht="409.5" x14ac:dyDescent="0.25">
      <c r="A45" s="2" t="s">
        <v>1908</v>
      </c>
      <c r="B45" s="2" t="s">
        <v>9153</v>
      </c>
      <c r="C45" s="2" t="s">
        <v>9154</v>
      </c>
      <c r="D45" s="2" t="s">
        <v>9155</v>
      </c>
      <c r="E45" s="30" t="str">
        <f>"17/01/2017"</f>
        <v>17/01/2017</v>
      </c>
      <c r="F45" s="2" t="s">
        <v>9156</v>
      </c>
      <c r="G45" s="2" t="s">
        <v>8909</v>
      </c>
      <c r="H45" s="2" t="s">
        <v>2425</v>
      </c>
      <c r="I45" s="2" t="s">
        <v>2444</v>
      </c>
      <c r="J45" s="3"/>
      <c r="K45" s="2" t="str">
        <f>HYPERLINK("https://docs.wto.org/imrd/directdoc.asp?DDFDocuments/t/G/SPS/NCAN1064A1.DOC","EN")</f>
        <v>EN</v>
      </c>
      <c r="L45" s="18"/>
      <c r="M45" s="18"/>
      <c r="N45" s="18"/>
      <c r="O45" s="18"/>
      <c r="P45" s="14"/>
    </row>
    <row r="46" spans="1:16" ht="75" x14ac:dyDescent="0.25">
      <c r="A46" s="2" t="s">
        <v>1908</v>
      </c>
      <c r="B46" s="2" t="s">
        <v>9157</v>
      </c>
      <c r="C46" s="2"/>
      <c r="D46" s="2"/>
      <c r="E46" s="30" t="str">
        <f>"17/01/2017"</f>
        <v>17/01/2017</v>
      </c>
      <c r="F46" s="2" t="s">
        <v>9158</v>
      </c>
      <c r="G46" s="2" t="s">
        <v>8909</v>
      </c>
      <c r="H46" s="2" t="s">
        <v>2425</v>
      </c>
      <c r="I46" s="2" t="s">
        <v>2444</v>
      </c>
      <c r="J46" s="3"/>
      <c r="K46" s="2" t="str">
        <f>HYPERLINK("https://docs.wto.org/imrd/directdoc.asp?DDFDocuments/t/G/SPS/NCAN1065A1.DOC","EN")</f>
        <v>EN</v>
      </c>
      <c r="L46" s="18"/>
      <c r="M46" s="18"/>
      <c r="N46" s="18"/>
      <c r="O46" s="18"/>
    </row>
    <row r="47" spans="1:16" ht="45" x14ac:dyDescent="0.25">
      <c r="A47" s="2" t="s">
        <v>31</v>
      </c>
      <c r="B47" s="2" t="s">
        <v>9159</v>
      </c>
      <c r="C47" s="2"/>
      <c r="D47" s="2"/>
      <c r="E47" s="30" t="str">
        <f>"17/01/2017"</f>
        <v>17/01/2017</v>
      </c>
      <c r="F47" s="2" t="s">
        <v>3203</v>
      </c>
      <c r="G47" s="2" t="s">
        <v>8909</v>
      </c>
      <c r="H47" s="2" t="s">
        <v>2425</v>
      </c>
      <c r="I47" s="2" t="s">
        <v>2444</v>
      </c>
      <c r="J47" s="3"/>
      <c r="K47" s="2" t="str">
        <f>HYPERLINK("https://docs.wto.org/imrd/directdoc.asp?DDFDocuments/t/G/SPS/NTHA234A1.DOC","EN")</f>
        <v>EN</v>
      </c>
      <c r="L47" s="18"/>
      <c r="M47" s="18"/>
      <c r="N47" s="18"/>
      <c r="O47" s="18"/>
    </row>
    <row r="48" spans="1:16" s="19" customFormat="1" ht="90" x14ac:dyDescent="0.25">
      <c r="A48" s="2" t="s">
        <v>9137</v>
      </c>
      <c r="B48" s="2" t="s">
        <v>9138</v>
      </c>
      <c r="C48" s="2" t="s">
        <v>9139</v>
      </c>
      <c r="D48" s="2" t="s">
        <v>9140</v>
      </c>
      <c r="E48" s="30" t="str">
        <f t="shared" ref="E48:E53" si="11">"16/01/2017"</f>
        <v>16/01/2017</v>
      </c>
      <c r="F48" s="2" t="s">
        <v>9141</v>
      </c>
      <c r="G48" s="2" t="s">
        <v>8909</v>
      </c>
      <c r="H48" s="2" t="s">
        <v>2425</v>
      </c>
      <c r="I48" s="2" t="s">
        <v>8955</v>
      </c>
      <c r="J48" s="3">
        <v>42811</v>
      </c>
      <c r="K48" s="2" t="str">
        <f t="shared" ref="K48:K50" si="12">HYPERLINK("https://docs.wto.org/imrd/directdoc.asp?DDFDocuments/t/G/SPS/NARE95.DOC","EN")</f>
        <v>EN</v>
      </c>
      <c r="L48" s="22"/>
      <c r="M48" s="2"/>
      <c r="N48" s="2"/>
      <c r="O48" s="2"/>
      <c r="P48" s="14"/>
    </row>
    <row r="49" spans="1:16" ht="90" x14ac:dyDescent="0.25">
      <c r="A49" s="2" t="s">
        <v>9142</v>
      </c>
      <c r="B49" s="2" t="s">
        <v>9138</v>
      </c>
      <c r="C49" s="2" t="s">
        <v>9139</v>
      </c>
      <c r="D49" s="2" t="s">
        <v>9140</v>
      </c>
      <c r="E49" s="30" t="str">
        <f t="shared" si="11"/>
        <v>16/01/2017</v>
      </c>
      <c r="F49" s="2" t="s">
        <v>9141</v>
      </c>
      <c r="G49" s="2" t="s">
        <v>8909</v>
      </c>
      <c r="H49" s="2" t="s">
        <v>2425</v>
      </c>
      <c r="I49" s="2" t="s">
        <v>8955</v>
      </c>
      <c r="J49" s="3">
        <v>42811</v>
      </c>
      <c r="K49" s="2" t="str">
        <f t="shared" si="12"/>
        <v>EN</v>
      </c>
      <c r="L49" s="22"/>
      <c r="M49" s="22"/>
      <c r="N49" s="2"/>
      <c r="O49" s="2"/>
    </row>
    <row r="50" spans="1:16" ht="90" x14ac:dyDescent="0.25">
      <c r="A50" s="2" t="s">
        <v>184</v>
      </c>
      <c r="B50" s="2" t="s">
        <v>9138</v>
      </c>
      <c r="C50" s="2" t="s">
        <v>9139</v>
      </c>
      <c r="D50" s="2" t="s">
        <v>9140</v>
      </c>
      <c r="E50" s="30" t="str">
        <f t="shared" si="11"/>
        <v>16/01/2017</v>
      </c>
      <c r="F50" s="2" t="s">
        <v>9141</v>
      </c>
      <c r="G50" s="2" t="s">
        <v>8909</v>
      </c>
      <c r="H50" s="2" t="s">
        <v>2425</v>
      </c>
      <c r="I50" s="2" t="s">
        <v>8955</v>
      </c>
      <c r="J50" s="3">
        <v>42811</v>
      </c>
      <c r="K50" s="2" t="str">
        <f t="shared" si="12"/>
        <v>EN</v>
      </c>
      <c r="L50" s="22"/>
      <c r="M50" s="22"/>
      <c r="N50" s="2"/>
      <c r="O50" s="2"/>
    </row>
    <row r="51" spans="1:16" ht="90" x14ac:dyDescent="0.25">
      <c r="A51" s="2" t="s">
        <v>184</v>
      </c>
      <c r="B51" s="2" t="s">
        <v>9143</v>
      </c>
      <c r="C51" s="2" t="s">
        <v>9144</v>
      </c>
      <c r="D51" s="2" t="s">
        <v>9145</v>
      </c>
      <c r="E51" s="30" t="str">
        <f t="shared" si="11"/>
        <v>16/01/2017</v>
      </c>
      <c r="F51" s="2" t="s">
        <v>9146</v>
      </c>
      <c r="G51" s="2" t="s">
        <v>8909</v>
      </c>
      <c r="H51" s="2" t="s">
        <v>2425</v>
      </c>
      <c r="I51" s="2" t="s">
        <v>8955</v>
      </c>
      <c r="J51" s="3">
        <v>42811</v>
      </c>
      <c r="K51" s="2" t="str">
        <f>HYPERLINK("https://docs.wto.org/imrd/directdoc.asp?DDFDocuments/t/G/SPS/NARE96.DOC","EN")</f>
        <v>EN</v>
      </c>
      <c r="L51" s="22"/>
      <c r="M51" s="22"/>
      <c r="N51" s="2"/>
      <c r="O51" s="2"/>
    </row>
    <row r="52" spans="1:16" ht="90" x14ac:dyDescent="0.25">
      <c r="A52" s="2" t="s">
        <v>179</v>
      </c>
      <c r="B52" s="2" t="s">
        <v>9138</v>
      </c>
      <c r="C52" s="2" t="s">
        <v>9139</v>
      </c>
      <c r="D52" s="2" t="s">
        <v>9140</v>
      </c>
      <c r="E52" s="30" t="str">
        <f t="shared" si="11"/>
        <v>16/01/2017</v>
      </c>
      <c r="F52" s="2" t="s">
        <v>9141</v>
      </c>
      <c r="G52" s="2" t="s">
        <v>8909</v>
      </c>
      <c r="H52" s="2" t="s">
        <v>2425</v>
      </c>
      <c r="I52" s="2" t="s">
        <v>8955</v>
      </c>
      <c r="J52" s="3">
        <v>42811</v>
      </c>
      <c r="K52" s="2" t="str">
        <f>HYPERLINK("https://docs.wto.org/imrd/directdoc.asp?DDFDocuments/t/G/SPS/NARE95.DOC","EN")</f>
        <v>EN</v>
      </c>
      <c r="L52" s="22"/>
      <c r="M52" s="22"/>
      <c r="N52" s="2"/>
      <c r="O52" s="2"/>
    </row>
    <row r="53" spans="1:16" ht="90" x14ac:dyDescent="0.25">
      <c r="A53" s="2" t="s">
        <v>178</v>
      </c>
      <c r="B53" s="2" t="s">
        <v>9138</v>
      </c>
      <c r="C53" s="2" t="s">
        <v>9139</v>
      </c>
      <c r="D53" s="2" t="s">
        <v>9140</v>
      </c>
      <c r="E53" s="30" t="str">
        <f t="shared" si="11"/>
        <v>16/01/2017</v>
      </c>
      <c r="F53" s="2" t="s">
        <v>9141</v>
      </c>
      <c r="G53" s="2" t="s">
        <v>8909</v>
      </c>
      <c r="H53" s="2" t="s">
        <v>2425</v>
      </c>
      <c r="I53" s="2" t="s">
        <v>8955</v>
      </c>
      <c r="J53" s="3">
        <v>42811</v>
      </c>
      <c r="K53" s="2" t="str">
        <f>HYPERLINK("https://docs.wto.org/imrd/directdoc.asp?DDFDocuments/t/G/SPS/NARE95.DOC","EN")</f>
        <v>EN</v>
      </c>
      <c r="L53" s="2"/>
      <c r="M53" s="2"/>
      <c r="N53" s="2"/>
      <c r="O53" s="2"/>
    </row>
    <row r="54" spans="1:16" ht="390" x14ac:dyDescent="0.25">
      <c r="A54" s="28" t="s">
        <v>1908</v>
      </c>
      <c r="B54" s="28" t="s">
        <v>8963</v>
      </c>
      <c r="C54" s="28" t="s">
        <v>8964</v>
      </c>
      <c r="D54" s="28" t="s">
        <v>8965</v>
      </c>
      <c r="E54" s="29" t="str">
        <f>"15/12/2016"</f>
        <v>15/12/2016</v>
      </c>
      <c r="F54" s="28" t="s">
        <v>8966</v>
      </c>
      <c r="G54" s="28" t="s">
        <v>8909</v>
      </c>
      <c r="H54" s="28" t="s">
        <v>2425</v>
      </c>
      <c r="I54" s="28" t="s">
        <v>8930</v>
      </c>
      <c r="J54" s="3">
        <v>42791</v>
      </c>
      <c r="K54" s="28" t="str">
        <f>HYPERLINK("https://docs.wto.org/imrd/directdoc.asp?DDFDocuments/t/G/SPS/NCAN1089.DOC","EN")</f>
        <v>EN</v>
      </c>
      <c r="L54" s="28"/>
      <c r="M54" s="28"/>
      <c r="N54" s="28"/>
      <c r="O54" s="28"/>
    </row>
    <row r="55" spans="1:16" ht="120" x14ac:dyDescent="0.25">
      <c r="A55" s="2" t="s">
        <v>225</v>
      </c>
      <c r="B55" s="2" t="s">
        <v>8958</v>
      </c>
      <c r="C55" s="2" t="s">
        <v>8959</v>
      </c>
      <c r="D55" s="2" t="s">
        <v>8960</v>
      </c>
      <c r="E55" s="3" t="str">
        <f>"15/12/2016"</f>
        <v>15/12/2016</v>
      </c>
      <c r="F55" s="2" t="s">
        <v>8961</v>
      </c>
      <c r="G55" s="2" t="s">
        <v>8962</v>
      </c>
      <c r="H55" s="2" t="s">
        <v>2467</v>
      </c>
      <c r="I55" s="2" t="s">
        <v>8955</v>
      </c>
      <c r="J55" s="3">
        <v>42779</v>
      </c>
      <c r="K55" s="2" t="str">
        <f>HYPERLINK("https://docs.wto.org/imrd/directdoc.asp?DDFDocuments/t/G/SPS/NAUS410.DOC","EN")</f>
        <v>EN</v>
      </c>
      <c r="L55" s="2"/>
      <c r="M55" s="2"/>
      <c r="N55" s="2"/>
      <c r="O55" s="2"/>
    </row>
    <row r="56" spans="1:16" ht="105" x14ac:dyDescent="0.25">
      <c r="A56" s="2" t="s">
        <v>8967</v>
      </c>
      <c r="B56" s="2" t="s">
        <v>8968</v>
      </c>
      <c r="C56" s="2"/>
      <c r="D56" s="2"/>
      <c r="E56" s="3" t="str">
        <f>"15/12/2016"</f>
        <v>15/12/2016</v>
      </c>
      <c r="F56" s="20" t="s">
        <v>4781</v>
      </c>
      <c r="G56" s="2" t="s">
        <v>8909</v>
      </c>
      <c r="H56" s="2" t="s">
        <v>8969</v>
      </c>
      <c r="I56" s="2" t="s">
        <v>8970</v>
      </c>
      <c r="J56" s="3"/>
      <c r="K56" s="2" t="str">
        <f>HYPERLINK("https://docs.wto.org/imrd/directdoc.asp?DDFDocuments/t/G/SPS/NSAU14A2.DOC","EN")</f>
        <v>EN</v>
      </c>
      <c r="L56" s="2"/>
      <c r="M56" s="2"/>
      <c r="N56" s="2"/>
      <c r="O56" s="2"/>
    </row>
    <row r="57" spans="1:16" ht="375" x14ac:dyDescent="0.25">
      <c r="A57" s="2" t="s">
        <v>1908</v>
      </c>
      <c r="B57" s="2" t="s">
        <v>8951</v>
      </c>
      <c r="C57" s="2" t="s">
        <v>8952</v>
      </c>
      <c r="D57" s="2" t="s">
        <v>8953</v>
      </c>
      <c r="E57" s="3" t="str">
        <f t="shared" ref="E57:E62" si="13">"13/12/2016"</f>
        <v>13/12/2016</v>
      </c>
      <c r="F57" s="20" t="s">
        <v>8954</v>
      </c>
      <c r="G57" s="2" t="s">
        <v>8909</v>
      </c>
      <c r="H57" s="2" t="s">
        <v>2425</v>
      </c>
      <c r="I57" s="2" t="s">
        <v>8955</v>
      </c>
      <c r="J57" s="3">
        <v>42787</v>
      </c>
      <c r="K57" s="2" t="str">
        <f>HYPERLINK("https://docs.wto.org/imrd/directdoc.asp?DDFDocuments/t/G/SPS/NCAN1084.DOC","EN")</f>
        <v>EN</v>
      </c>
      <c r="L57" s="2"/>
      <c r="M57" s="2"/>
      <c r="N57" s="2"/>
      <c r="O57" s="2"/>
    </row>
    <row r="58" spans="1:16" ht="225" x14ac:dyDescent="0.25">
      <c r="A58" s="2" t="s">
        <v>1908</v>
      </c>
      <c r="B58" s="2" t="s">
        <v>8937</v>
      </c>
      <c r="C58" s="2" t="s">
        <v>8938</v>
      </c>
      <c r="D58" s="2" t="s">
        <v>8939</v>
      </c>
      <c r="E58" s="3" t="str">
        <f t="shared" si="13"/>
        <v>13/12/2016</v>
      </c>
      <c r="F58" s="2" t="s">
        <v>8940</v>
      </c>
      <c r="G58" s="2" t="s">
        <v>8941</v>
      </c>
      <c r="H58" s="2" t="s">
        <v>2425</v>
      </c>
      <c r="I58" s="2" t="s">
        <v>8930</v>
      </c>
      <c r="J58" s="3">
        <v>42786</v>
      </c>
      <c r="K58" s="2" t="str">
        <f>HYPERLINK("https://docs.wto.org/imrd/directdoc.asp?DDFDocuments/t/G/SPS/NCAN1085.DOC","EN")</f>
        <v>EN</v>
      </c>
      <c r="L58" s="2"/>
      <c r="M58" s="2"/>
      <c r="N58" s="2"/>
      <c r="O58" s="2"/>
    </row>
    <row r="59" spans="1:16" s="19" customFormat="1" ht="225" x14ac:dyDescent="0.25">
      <c r="A59" s="2" t="s">
        <v>1908</v>
      </c>
      <c r="B59" s="2" t="s">
        <v>8942</v>
      </c>
      <c r="C59" s="2" t="s">
        <v>8943</v>
      </c>
      <c r="D59" s="2" t="s">
        <v>8944</v>
      </c>
      <c r="E59" s="3" t="str">
        <f t="shared" si="13"/>
        <v>13/12/2016</v>
      </c>
      <c r="F59" s="2" t="s">
        <v>8945</v>
      </c>
      <c r="G59" s="2" t="s">
        <v>8909</v>
      </c>
      <c r="H59" s="2" t="s">
        <v>2425</v>
      </c>
      <c r="I59" s="2" t="s">
        <v>8930</v>
      </c>
      <c r="J59" s="3">
        <v>42786</v>
      </c>
      <c r="K59" s="2" t="str">
        <f>HYPERLINK("https://docs.wto.org/imrd/directdoc.asp?DDFDocuments/t/G/SPS/NCAN1087.DOC","EN")</f>
        <v>EN</v>
      </c>
      <c r="L59" s="22"/>
      <c r="M59" s="2"/>
      <c r="N59" s="2"/>
      <c r="O59" s="2"/>
      <c r="P59" s="14"/>
    </row>
    <row r="60" spans="1:16" s="19" customFormat="1" ht="225" x14ac:dyDescent="0.25">
      <c r="A60" s="2" t="s">
        <v>1908</v>
      </c>
      <c r="B60" s="2" t="s">
        <v>8946</v>
      </c>
      <c r="C60" s="2" t="s">
        <v>8947</v>
      </c>
      <c r="D60" s="2" t="s">
        <v>8948</v>
      </c>
      <c r="E60" s="3" t="str">
        <f t="shared" si="13"/>
        <v>13/12/2016</v>
      </c>
      <c r="F60" s="2" t="s">
        <v>8949</v>
      </c>
      <c r="G60" s="2" t="s">
        <v>8950</v>
      </c>
      <c r="H60" s="2" t="s">
        <v>2425</v>
      </c>
      <c r="I60" s="2" t="s">
        <v>8930</v>
      </c>
      <c r="J60" s="3">
        <v>42786</v>
      </c>
      <c r="K60" s="2" t="str">
        <f>HYPERLINK("https://docs.wto.org/imrd/directdoc.asp?DDFDocuments/t/G/SPS/NCAN1084.DOC","EN")</f>
        <v>EN</v>
      </c>
      <c r="L60" s="2"/>
      <c r="M60" s="2"/>
      <c r="N60" s="2"/>
      <c r="O60" s="2"/>
      <c r="P60" s="14"/>
    </row>
    <row r="61" spans="1:16" s="19" customFormat="1" ht="45" x14ac:dyDescent="0.25">
      <c r="A61" s="2" t="s">
        <v>1908</v>
      </c>
      <c r="B61" s="2" t="s">
        <v>8956</v>
      </c>
      <c r="C61" s="2"/>
      <c r="D61" s="2"/>
      <c r="E61" s="3" t="str">
        <f t="shared" si="13"/>
        <v>13/12/2016</v>
      </c>
      <c r="F61" s="2" t="s">
        <v>8957</v>
      </c>
      <c r="G61" s="2" t="s">
        <v>8909</v>
      </c>
      <c r="H61" s="2" t="s">
        <v>2425</v>
      </c>
      <c r="I61" s="2" t="s">
        <v>2444</v>
      </c>
      <c r="J61" s="3"/>
      <c r="K61" s="2" t="str">
        <f>HYPERLINK("https://docs.wto.org/imrd/directdoc.asp?DDFDocuments/t/G/SPS/NCAN1036A1.DOC","EN")</f>
        <v>EN</v>
      </c>
      <c r="L61" s="2"/>
      <c r="M61" s="2"/>
      <c r="N61" s="2"/>
      <c r="O61" s="2"/>
      <c r="P61" s="14"/>
    </row>
    <row r="62" spans="1:16" s="19" customFormat="1" ht="345" x14ac:dyDescent="0.25">
      <c r="A62" s="2" t="s">
        <v>12</v>
      </c>
      <c r="B62" s="2" t="s">
        <v>8933</v>
      </c>
      <c r="C62" s="2" t="s">
        <v>8934</v>
      </c>
      <c r="D62" s="2" t="s">
        <v>8935</v>
      </c>
      <c r="E62" s="2" t="str">
        <f t="shared" si="13"/>
        <v>13/12/2016</v>
      </c>
      <c r="F62" s="2" t="s">
        <v>8928</v>
      </c>
      <c r="G62" s="2" t="s">
        <v>8936</v>
      </c>
      <c r="H62" s="2" t="s">
        <v>2425</v>
      </c>
      <c r="I62" s="2" t="s">
        <v>8930</v>
      </c>
      <c r="J62" s="3"/>
      <c r="K62" s="2" t="str">
        <f>HYPERLINK("https://docs.wto.org/imrd/directdoc.asp?DDFDocuments/t/G/SPS/NEU176.DOC","EN")</f>
        <v>EN</v>
      </c>
      <c r="L62" s="2"/>
      <c r="M62" s="2"/>
      <c r="N62" s="2"/>
      <c r="O62" s="2"/>
      <c r="P62" s="14"/>
    </row>
    <row r="63" spans="1:16" s="19" customFormat="1" ht="270" x14ac:dyDescent="0.25">
      <c r="A63" s="2" t="s">
        <v>12</v>
      </c>
      <c r="B63" s="2" t="s">
        <v>8925</v>
      </c>
      <c r="C63" s="2" t="s">
        <v>8926</v>
      </c>
      <c r="D63" s="2" t="s">
        <v>8927</v>
      </c>
      <c r="E63" s="3" t="str">
        <f>"12/12/2016"</f>
        <v>12/12/2016</v>
      </c>
      <c r="F63" s="2" t="s">
        <v>8928</v>
      </c>
      <c r="G63" s="2" t="s">
        <v>8929</v>
      </c>
      <c r="H63" s="2" t="s">
        <v>2425</v>
      </c>
      <c r="I63" s="2" t="s">
        <v>8930</v>
      </c>
      <c r="J63" s="3">
        <v>42776</v>
      </c>
      <c r="K63" s="2" t="s">
        <v>8931</v>
      </c>
      <c r="L63" s="18"/>
      <c r="M63" s="18"/>
      <c r="N63" s="2" t="s">
        <v>8932</v>
      </c>
      <c r="O63" s="18"/>
      <c r="P63" s="14"/>
    </row>
    <row r="64" spans="1:16" ht="225" x14ac:dyDescent="0.25">
      <c r="A64" s="2" t="s">
        <v>225</v>
      </c>
      <c r="B64" s="2" t="s">
        <v>9095</v>
      </c>
      <c r="C64" s="2" t="s">
        <v>9124</v>
      </c>
      <c r="D64" s="2" t="s">
        <v>9125</v>
      </c>
      <c r="E64" s="30" t="str">
        <f>"11/01/2017"</f>
        <v>11/01/2017</v>
      </c>
      <c r="F64" s="2" t="s">
        <v>8961</v>
      </c>
      <c r="G64" s="2" t="s">
        <v>8962</v>
      </c>
      <c r="H64" s="2" t="s">
        <v>2467</v>
      </c>
      <c r="I64" s="2" t="s">
        <v>2672</v>
      </c>
      <c r="J64" s="3">
        <v>42809</v>
      </c>
      <c r="K64" s="2" t="str">
        <f>HYPERLINK("https://docs.wto.org/imrd/directdoc.asp?DDFDocuments/t/G/SPS/NAUS410A1.DOC","EN")</f>
        <v>EN</v>
      </c>
      <c r="L64" s="35"/>
      <c r="M64" s="2"/>
      <c r="N64" s="2"/>
      <c r="O64" s="2"/>
    </row>
    <row r="65" spans="1:23" ht="409.5" x14ac:dyDescent="0.25">
      <c r="A65" s="2" t="s">
        <v>1908</v>
      </c>
      <c r="B65" s="2" t="s">
        <v>9082</v>
      </c>
      <c r="C65" s="2" t="s">
        <v>9083</v>
      </c>
      <c r="D65" s="2" t="s">
        <v>9084</v>
      </c>
      <c r="E65" s="30" t="str">
        <f>"10/01/2017"</f>
        <v>10/01/2017</v>
      </c>
      <c r="F65" s="2" t="s">
        <v>9085</v>
      </c>
      <c r="G65" s="2" t="s">
        <v>8909</v>
      </c>
      <c r="H65" s="2" t="s">
        <v>2425</v>
      </c>
      <c r="I65" s="2" t="s">
        <v>9086</v>
      </c>
      <c r="J65" s="3">
        <v>42812</v>
      </c>
      <c r="K65" s="2" t="str">
        <f>HYPERLINK("https://docs.wto.org/imrd/directdoc.asp?DDFDocuments/t/G/SPS/NCAN1090.DOC","EN")</f>
        <v>EN</v>
      </c>
      <c r="L65" s="2"/>
      <c r="M65" s="2"/>
      <c r="N65" s="2"/>
      <c r="O65" s="2"/>
    </row>
    <row r="66" spans="1:23" ht="409.5" x14ac:dyDescent="0.25">
      <c r="A66" s="2" t="s">
        <v>154</v>
      </c>
      <c r="B66" s="2" t="s">
        <v>9087</v>
      </c>
      <c r="C66" s="2" t="s">
        <v>9088</v>
      </c>
      <c r="D66" s="2" t="s">
        <v>9089</v>
      </c>
      <c r="E66" s="30" t="str">
        <f>"10/01/2017"</f>
        <v>10/01/2017</v>
      </c>
      <c r="F66" s="2" t="s">
        <v>9090</v>
      </c>
      <c r="G66" s="2" t="s">
        <v>8909</v>
      </c>
      <c r="H66" s="2" t="s">
        <v>2425</v>
      </c>
      <c r="I66" s="2" t="s">
        <v>8955</v>
      </c>
      <c r="J66" s="3"/>
      <c r="K66" s="2" t="str">
        <f>HYPERLINK("https://docs.wto.org/imrd/directdoc.asp?DDFDocuments/t/G/SPS/NIDN114.DOC","EN")</f>
        <v>EN</v>
      </c>
      <c r="L66" s="2"/>
      <c r="M66" s="2"/>
      <c r="N66" s="2"/>
      <c r="O66" s="2"/>
    </row>
    <row r="67" spans="1:23" ht="75" x14ac:dyDescent="0.25">
      <c r="A67" s="2" t="s">
        <v>178</v>
      </c>
      <c r="B67" s="2" t="s">
        <v>9091</v>
      </c>
      <c r="C67" s="2"/>
      <c r="D67" s="2"/>
      <c r="E67" s="30" t="str">
        <f>"10/01/2017"</f>
        <v>10/01/2017</v>
      </c>
      <c r="F67" s="2" t="s">
        <v>4781</v>
      </c>
      <c r="G67" s="2" t="s">
        <v>8909</v>
      </c>
      <c r="H67" s="2" t="s">
        <v>9092</v>
      </c>
      <c r="I67" s="2" t="s">
        <v>2628</v>
      </c>
      <c r="J67" s="3"/>
      <c r="K67" s="2" t="str">
        <f>HYPERLINK("https://docs.wto.org/imrd/directdoc.asp?DDFDocuments/t/G/SPS/NQAT22A3.DOC","EN")</f>
        <v>EN</v>
      </c>
      <c r="L67" s="2"/>
      <c r="M67" s="2"/>
      <c r="N67" s="2"/>
      <c r="O67" s="2"/>
    </row>
    <row r="68" spans="1:23" ht="45" x14ac:dyDescent="0.25">
      <c r="A68" s="2" t="s">
        <v>1908</v>
      </c>
      <c r="B68" s="2" t="s">
        <v>9093</v>
      </c>
      <c r="C68" s="2"/>
      <c r="D68" s="2"/>
      <c r="E68" s="30" t="str">
        <f>"10/01/2017"</f>
        <v>10/01/2017</v>
      </c>
      <c r="F68" s="2" t="s">
        <v>9094</v>
      </c>
      <c r="G68" s="2" t="s">
        <v>8909</v>
      </c>
      <c r="H68" s="2" t="s">
        <v>2425</v>
      </c>
      <c r="I68" s="2" t="s">
        <v>2444</v>
      </c>
      <c r="J68" s="3"/>
      <c r="K68" s="2" t="str">
        <f>HYPERLINK("https://docs.wto.org/imrd/directdoc.asp?DDFDocuments/t/G/SPS/NCAN1012A1.DOC","EN")</f>
        <v>EN</v>
      </c>
      <c r="L68" s="2"/>
      <c r="M68" s="2"/>
      <c r="N68" s="2"/>
      <c r="O68" s="2"/>
    </row>
    <row r="69" spans="1:23" ht="409.5" x14ac:dyDescent="0.25">
      <c r="A69" s="2" t="s">
        <v>9056</v>
      </c>
      <c r="B69" s="2" t="s">
        <v>9057</v>
      </c>
      <c r="C69" s="2" t="s">
        <v>9058</v>
      </c>
      <c r="D69" s="2" t="s">
        <v>9059</v>
      </c>
      <c r="E69" s="30" t="str">
        <f t="shared" ref="E69:E75" si="14">"09/01/2017"</f>
        <v>09/01/2017</v>
      </c>
      <c r="F69" s="2" t="s">
        <v>7576</v>
      </c>
      <c r="G69" s="2" t="s">
        <v>9060</v>
      </c>
      <c r="H69" s="2" t="s">
        <v>2425</v>
      </c>
      <c r="I69" s="2" t="s">
        <v>8955</v>
      </c>
      <c r="J69" s="3"/>
      <c r="K69" s="2"/>
      <c r="L69" s="18"/>
      <c r="M69" s="18"/>
      <c r="N69" s="2" t="str">
        <f>HYPERLINK("http://www.epingalert.org/en/#/details/G/SPS/N/MAC/20","G/SPS/N/MAC/20")</f>
        <v>G/SPS/N/MAC/20</v>
      </c>
      <c r="O69" s="18"/>
    </row>
    <row r="70" spans="1:23" ht="90" x14ac:dyDescent="0.25">
      <c r="A70" s="2" t="s">
        <v>1908</v>
      </c>
      <c r="B70" s="2" t="s">
        <v>9061</v>
      </c>
      <c r="C70" s="2"/>
      <c r="D70" s="2"/>
      <c r="E70" s="30" t="str">
        <f t="shared" si="14"/>
        <v>09/01/2017</v>
      </c>
      <c r="F70" s="2" t="s">
        <v>9062</v>
      </c>
      <c r="G70" s="2" t="s">
        <v>9063</v>
      </c>
      <c r="H70" s="2" t="s">
        <v>2425</v>
      </c>
      <c r="I70" s="2" t="s">
        <v>2444</v>
      </c>
      <c r="J70" s="3"/>
      <c r="K70" s="2" t="str">
        <f>HYPERLINK("https://docs.wto.org/imrd/directdoc.asp?DDFDocuments/u/G/SPS/NCAN1060A1.DOC","FR")</f>
        <v>FR</v>
      </c>
      <c r="L70" s="18"/>
      <c r="M70" s="18"/>
      <c r="N70" s="2" t="str">
        <f>HYPERLINK("http://www.epingalert.org/en/#/details/G/SPS/N/CAN/1060/Add.1","G/SPS/N/CAN/1060/Add.1")</f>
        <v>G/SPS/N/CAN/1060/Add.1</v>
      </c>
      <c r="O70" s="18"/>
    </row>
    <row r="71" spans="1:23" s="19" customFormat="1" ht="409.5" x14ac:dyDescent="0.25">
      <c r="A71" s="2" t="s">
        <v>1908</v>
      </c>
      <c r="B71" s="2" t="s">
        <v>9064</v>
      </c>
      <c r="C71" s="2" t="s">
        <v>9065</v>
      </c>
      <c r="D71" s="2" t="s">
        <v>9066</v>
      </c>
      <c r="E71" s="30" t="str">
        <f t="shared" si="14"/>
        <v>09/01/2017</v>
      </c>
      <c r="F71" s="2" t="s">
        <v>9067</v>
      </c>
      <c r="G71" s="2" t="s">
        <v>8909</v>
      </c>
      <c r="H71" s="2" t="s">
        <v>2425</v>
      </c>
      <c r="I71" s="2" t="s">
        <v>2444</v>
      </c>
      <c r="J71" s="3"/>
      <c r="K71" s="2" t="str">
        <f>HYPERLINK("https://docs.wto.org/imrd/directdoc.asp?DDFDocuments/u/G/SPS/NCAN1061A1.DOC","FR")</f>
        <v>FR</v>
      </c>
      <c r="L71" s="18"/>
      <c r="M71" s="18"/>
      <c r="N71" s="2" t="str">
        <f>HYPERLINK("http://www.epingalert.org/en/#/details/G/SPS/N/CAN/1061/Add.1","G/SPS/N/CAN/1061/Add.1")</f>
        <v>G/SPS/N/CAN/1061/Add.1</v>
      </c>
      <c r="O71" s="18"/>
      <c r="P71"/>
      <c r="Q71"/>
      <c r="R71"/>
      <c r="S71"/>
      <c r="T71"/>
      <c r="U71"/>
      <c r="V71"/>
      <c r="W71"/>
    </row>
    <row r="72" spans="1:23" ht="75" x14ac:dyDescent="0.25">
      <c r="A72" s="2" t="s">
        <v>1908</v>
      </c>
      <c r="B72" s="2" t="s">
        <v>9068</v>
      </c>
      <c r="C72" s="2"/>
      <c r="D72" s="2"/>
      <c r="E72" s="30" t="str">
        <f t="shared" si="14"/>
        <v>09/01/2017</v>
      </c>
      <c r="F72" s="2" t="s">
        <v>9069</v>
      </c>
      <c r="G72" s="2" t="s">
        <v>8909</v>
      </c>
      <c r="H72" s="2" t="s">
        <v>2425</v>
      </c>
      <c r="I72" s="2" t="s">
        <v>2444</v>
      </c>
      <c r="J72" s="3"/>
      <c r="K72" s="2" t="str">
        <f>HYPERLINK("https://docs.wto.org/imrd/directdoc.asp?DDFDocuments/u/G/SPS/NCAN1062A1.DOC","FR")</f>
        <v>FR</v>
      </c>
      <c r="L72" s="18"/>
      <c r="M72" s="18"/>
      <c r="N72" s="2" t="str">
        <f>HYPERLINK("http://www.epingalert.org/en/#/details/G/SPS/N/CAN/1062/Add.1","G/SPS/N/CAN/1062/Add.1")</f>
        <v>G/SPS/N/CAN/1062/Add.1</v>
      </c>
      <c r="O72" s="18"/>
    </row>
    <row r="73" spans="1:23" ht="60" x14ac:dyDescent="0.25">
      <c r="A73" s="2" t="s">
        <v>77</v>
      </c>
      <c r="B73" s="2" t="s">
        <v>9070</v>
      </c>
      <c r="C73" s="2"/>
      <c r="D73" s="2"/>
      <c r="E73" s="30" t="str">
        <f t="shared" si="14"/>
        <v>09/01/2017</v>
      </c>
      <c r="F73" s="2" t="s">
        <v>6577</v>
      </c>
      <c r="G73" s="2" t="s">
        <v>9071</v>
      </c>
      <c r="H73" s="2" t="s">
        <v>2425</v>
      </c>
      <c r="I73" s="2" t="s">
        <v>9072</v>
      </c>
      <c r="J73" s="3"/>
      <c r="K73" s="2"/>
      <c r="L73" s="18"/>
      <c r="M73" s="18"/>
      <c r="N73" s="2" t="str">
        <f>HYPERLINK("http://www.epingalert.org/en/#/details/G/SPS/N/TPKM/406/Add.2","G/SPS/N/TPKM/406/Add.2")</f>
        <v>G/SPS/N/TPKM/406/Add.2</v>
      </c>
      <c r="O73" s="18"/>
    </row>
    <row r="74" spans="1:23" ht="195" x14ac:dyDescent="0.25">
      <c r="A74" s="2" t="s">
        <v>179</v>
      </c>
      <c r="B74" s="2" t="s">
        <v>9073</v>
      </c>
      <c r="C74" s="2"/>
      <c r="D74" s="2"/>
      <c r="E74" s="30" t="str">
        <f t="shared" si="14"/>
        <v>09/01/2017</v>
      </c>
      <c r="F74" s="17" t="s">
        <v>9074</v>
      </c>
      <c r="G74" s="2" t="s">
        <v>9075</v>
      </c>
      <c r="H74" s="2" t="s">
        <v>9076</v>
      </c>
      <c r="I74" s="2" t="s">
        <v>2628</v>
      </c>
      <c r="J74" s="3"/>
      <c r="K74" s="2"/>
      <c r="L74" s="18"/>
      <c r="M74" s="18"/>
      <c r="N74" s="2" t="str">
        <f>HYPERLINK("http://www.epingalert.org/en/#/details/G/SPS/N/OMN/44/Rev.1/Add.1","G/SPS/N/OMN/44/Rev.1/Add.1")</f>
        <v>G/SPS/N/OMN/44/Rev.1/Add.1</v>
      </c>
      <c r="O74" s="18"/>
    </row>
    <row r="75" spans="1:23" ht="75" x14ac:dyDescent="0.25">
      <c r="A75" s="2" t="s">
        <v>18</v>
      </c>
      <c r="B75" s="2" t="s">
        <v>9077</v>
      </c>
      <c r="C75" s="2" t="s">
        <v>9078</v>
      </c>
      <c r="D75" s="2" t="s">
        <v>9079</v>
      </c>
      <c r="E75" s="30" t="str">
        <f t="shared" si="14"/>
        <v>09/01/2017</v>
      </c>
      <c r="F75" s="2" t="s">
        <v>9080</v>
      </c>
      <c r="G75" s="2" t="s">
        <v>9081</v>
      </c>
      <c r="H75" s="2" t="s">
        <v>24</v>
      </c>
      <c r="I75" s="2"/>
      <c r="J75" s="3"/>
      <c r="K75" s="2"/>
      <c r="L75" s="18"/>
      <c r="M75" s="18"/>
      <c r="N75" s="2" t="str">
        <f>HYPERLINK("http://www.epingalert.org/en/#/details/G/TBT/N/USA/1251","G/TBT/N/USA/1251")</f>
        <v>G/TBT/N/USA/1251</v>
      </c>
      <c r="O75" s="18"/>
    </row>
    <row r="76" spans="1:23" ht="120" x14ac:dyDescent="0.25">
      <c r="A76" s="2" t="s">
        <v>37</v>
      </c>
      <c r="B76" s="2" t="s">
        <v>9028</v>
      </c>
      <c r="C76" s="2" t="s">
        <v>9029</v>
      </c>
      <c r="D76" s="2" t="s">
        <v>9030</v>
      </c>
      <c r="E76" s="30" t="str">
        <f>"05/01/2017"</f>
        <v>05/01/2017</v>
      </c>
      <c r="F76" s="2" t="s">
        <v>9031</v>
      </c>
      <c r="G76" s="2" t="s">
        <v>9032</v>
      </c>
      <c r="H76" s="2" t="s">
        <v>9033</v>
      </c>
      <c r="I76" s="2" t="s">
        <v>9034</v>
      </c>
      <c r="J76" s="3">
        <v>42800</v>
      </c>
      <c r="K76" s="2" t="str">
        <f>HYPERLINK("https://docs.wto.org/imrd/directdoc.asp?DDFDocuments/t/G/SPS/NTUR83.DOC","EN")</f>
        <v>EN</v>
      </c>
      <c r="L76" s="18"/>
      <c r="M76" s="18"/>
      <c r="N76" s="2"/>
      <c r="O76" s="18"/>
    </row>
    <row r="77" spans="1:23" ht="90" x14ac:dyDescent="0.25">
      <c r="A77" s="2" t="s">
        <v>1908</v>
      </c>
      <c r="B77" s="2" t="s">
        <v>9019</v>
      </c>
      <c r="C77" s="2"/>
      <c r="D77" s="2"/>
      <c r="E77" s="30" t="str">
        <f>"05/01/2017"</f>
        <v>05/01/2017</v>
      </c>
      <c r="F77" s="2" t="s">
        <v>9020</v>
      </c>
      <c r="G77" s="2" t="s">
        <v>8909</v>
      </c>
      <c r="H77" s="2" t="s">
        <v>2425</v>
      </c>
      <c r="I77" s="2" t="s">
        <v>8930</v>
      </c>
      <c r="J77" s="3"/>
      <c r="K77" s="2" t="str">
        <f>HYPERLINK("https://docs.wto.org/imrd/directdoc.asp?DDFDocuments/u/G/SPS/NCAN1057A1.DOC","FR")</f>
        <v>FR</v>
      </c>
      <c r="L77" s="18"/>
      <c r="M77" s="18"/>
      <c r="N77" s="2"/>
      <c r="O77" s="18"/>
    </row>
    <row r="78" spans="1:23" ht="409.5" x14ac:dyDescent="0.25">
      <c r="A78" s="2" t="s">
        <v>1908</v>
      </c>
      <c r="B78" s="2" t="s">
        <v>9021</v>
      </c>
      <c r="C78" s="2" t="s">
        <v>9022</v>
      </c>
      <c r="D78" s="2" t="s">
        <v>9023</v>
      </c>
      <c r="E78" s="29" t="str">
        <f>"05/01/2017"</f>
        <v>05/01/2017</v>
      </c>
      <c r="F78" s="2" t="s">
        <v>9024</v>
      </c>
      <c r="G78" s="2" t="s">
        <v>8909</v>
      </c>
      <c r="H78" s="2" t="s">
        <v>2425</v>
      </c>
      <c r="I78" s="2" t="s">
        <v>8930</v>
      </c>
      <c r="J78" s="3"/>
      <c r="K78" s="2" t="str">
        <f>HYPERLINK("https://docs.wto.org/imrd/directdoc.asp?DDFDocuments/u/G/SPS/NCAN1058A1.DOC","FR")</f>
        <v>FR</v>
      </c>
      <c r="L78" s="18"/>
      <c r="M78" s="18"/>
      <c r="N78" s="2"/>
      <c r="O78" s="18"/>
    </row>
    <row r="79" spans="1:23" s="19" customFormat="1" ht="165" x14ac:dyDescent="0.25">
      <c r="A79" s="2" t="s">
        <v>18</v>
      </c>
      <c r="B79" s="2" t="s">
        <v>9025</v>
      </c>
      <c r="C79" s="2"/>
      <c r="D79" s="2"/>
      <c r="E79" s="29" t="str">
        <f>"05/01/2017"</f>
        <v>05/01/2017</v>
      </c>
      <c r="F79" s="2" t="s">
        <v>9026</v>
      </c>
      <c r="G79" s="2" t="s">
        <v>8909</v>
      </c>
      <c r="H79" s="2" t="s">
        <v>2425</v>
      </c>
      <c r="I79" s="2"/>
      <c r="J79" s="3"/>
      <c r="K79" s="2" t="str">
        <f>HYPERLINK("https://docs.wto.org/imrd/directdoc.asp?DDFDocuments/t/G/SPS/NUSA2570A5.DOC","EN")</f>
        <v>EN</v>
      </c>
      <c r="L79" s="18" t="str">
        <f>HYPERLINK("https://docs.wto.org/imrd/directdoc.asp?DDFDocuments/t/G/SPS/NUSA2570A5.DOC","EN")</f>
        <v>EN</v>
      </c>
      <c r="M79" s="18"/>
      <c r="N79" s="18"/>
      <c r="O79" s="18"/>
      <c r="P79" s="14"/>
    </row>
    <row r="80" spans="1:23" s="19" customFormat="1" ht="165" x14ac:dyDescent="0.25">
      <c r="A80" s="2" t="s">
        <v>18</v>
      </c>
      <c r="B80" s="2" t="s">
        <v>9027</v>
      </c>
      <c r="C80" s="2"/>
      <c r="D80" s="2"/>
      <c r="E80" s="29" t="str">
        <f>"05/01/2017"</f>
        <v>05/01/2017</v>
      </c>
      <c r="F80" s="2" t="s">
        <v>9026</v>
      </c>
      <c r="G80" s="2" t="s">
        <v>8909</v>
      </c>
      <c r="H80" s="2" t="s">
        <v>2425</v>
      </c>
      <c r="I80" s="2"/>
      <c r="J80" s="3"/>
      <c r="K80" s="2" t="str">
        <f>HYPERLINK("https://docs.wto.org/imrd/directdoc.asp?DDFDocuments/t/G/SPS/NUSA2570A6.DOC","EN")</f>
        <v>EN</v>
      </c>
      <c r="L80" s="18" t="str">
        <f>HYPERLINK("https://docs.wto.org/imrd/directdoc.asp?DDFDocuments/t/G/SPS/NUSA2570A6.DOC","EN")</f>
        <v>EN</v>
      </c>
      <c r="M80" s="18"/>
      <c r="N80" s="18"/>
      <c r="O80" s="18"/>
    </row>
    <row r="81" spans="1:21" s="19" customFormat="1" ht="225" x14ac:dyDescent="0.25">
      <c r="A81" s="2" t="s">
        <v>2544</v>
      </c>
      <c r="B81" s="2" t="s">
        <v>9162</v>
      </c>
      <c r="C81" s="2" t="s">
        <v>9165</v>
      </c>
      <c r="D81" s="2" t="s">
        <v>9163</v>
      </c>
      <c r="E81" s="3">
        <v>43088</v>
      </c>
      <c r="F81" s="3" t="s">
        <v>9164</v>
      </c>
      <c r="G81" s="3"/>
      <c r="H81" s="24"/>
      <c r="I81" s="24"/>
      <c r="J81" s="3">
        <v>42783</v>
      </c>
      <c r="K81" s="2" t="s">
        <v>9166</v>
      </c>
      <c r="L81" s="24"/>
      <c r="M81" s="24"/>
      <c r="N81" s="31" t="s">
        <v>9167</v>
      </c>
      <c r="O81" s="24"/>
      <c r="P81"/>
      <c r="Q81"/>
      <c r="R81"/>
      <c r="S81"/>
      <c r="T81"/>
      <c r="U81"/>
    </row>
    <row r="82" spans="1:21" s="19" customFormat="1" ht="195" x14ac:dyDescent="0.25">
      <c r="A82" s="25" t="s">
        <v>25</v>
      </c>
      <c r="B82" s="25" t="s">
        <v>9160</v>
      </c>
      <c r="C82" s="25" t="s">
        <v>2528</v>
      </c>
      <c r="D82" s="25" t="s">
        <v>9161</v>
      </c>
      <c r="E82" s="30">
        <v>42751</v>
      </c>
      <c r="F82" s="2" t="s">
        <v>299</v>
      </c>
      <c r="G82" s="2"/>
      <c r="H82" s="2" t="s">
        <v>2425</v>
      </c>
      <c r="I82" s="2" t="s">
        <v>2845</v>
      </c>
      <c r="J82" s="3">
        <v>42811</v>
      </c>
      <c r="K82" s="2" t="str">
        <f>HYPERLINK("https://docs.wto.org/imrd/directdoc.asp?DDFDocuments/t/G/SPS/NKOR556.DOC")</f>
        <v>https://docs.wto.org/imrd/directdoc.asp?DDFDocuments/t/G/SPS/NKOR556.DOC</v>
      </c>
      <c r="L82" s="24"/>
      <c r="M82" s="24"/>
      <c r="N82" s="24"/>
      <c r="O82" s="24"/>
      <c r="P82" s="14"/>
    </row>
    <row r="83" spans="1:21" ht="150" x14ac:dyDescent="0.25">
      <c r="A83" s="25" t="s">
        <v>12</v>
      </c>
      <c r="B83" s="25" t="s">
        <v>9116</v>
      </c>
      <c r="C83" s="25" t="s">
        <v>9117</v>
      </c>
      <c r="D83" s="25" t="s">
        <v>9118</v>
      </c>
      <c r="E83" s="3">
        <v>42745</v>
      </c>
      <c r="F83" s="24" t="s">
        <v>7549</v>
      </c>
      <c r="G83" s="23"/>
      <c r="H83" s="2" t="s">
        <v>2425</v>
      </c>
      <c r="I83" s="2" t="s">
        <v>9119</v>
      </c>
      <c r="J83" s="3">
        <v>42805</v>
      </c>
      <c r="K83" s="2" t="str">
        <f>HYPERLINK("https://docs.wto.org/imrd/directdoc.asp?DDFDocuments/v/G/SPS/NEU179.DOC")</f>
        <v>https://docs.wto.org/imrd/directdoc.asp?DDFDocuments/v/G/SPS/NEU179.DOC</v>
      </c>
      <c r="L83" s="2" t="s">
        <v>8895</v>
      </c>
      <c r="M83" s="2" t="str">
        <f>HYPERLINK("https://docs.wto.org/imrd/directdoc.asp?DDFDocuments/t/G/SPS/NEU179.DOC")</f>
        <v>https://docs.wto.org/imrd/directdoc.asp?DDFDocuments/t/G/SPS/NEU179.DOC</v>
      </c>
      <c r="N83" s="2"/>
      <c r="O83" s="2"/>
    </row>
    <row r="84" spans="1:21" s="19" customFormat="1" ht="150" x14ac:dyDescent="0.25">
      <c r="A84" s="25" t="s">
        <v>12</v>
      </c>
      <c r="B84" s="25" t="s">
        <v>9120</v>
      </c>
      <c r="C84" s="25" t="s">
        <v>9121</v>
      </c>
      <c r="D84" s="25" t="s">
        <v>9122</v>
      </c>
      <c r="E84" s="3">
        <v>42745</v>
      </c>
      <c r="F84" s="24" t="s">
        <v>210</v>
      </c>
      <c r="G84" s="2"/>
      <c r="H84" s="2" t="s">
        <v>2425</v>
      </c>
      <c r="I84" s="2" t="s">
        <v>9123</v>
      </c>
      <c r="J84" s="3">
        <v>42805</v>
      </c>
      <c r="K84" s="2" t="str">
        <f>HYPERLINK("https://docs.wto.org/imrd/directdoc.asp?DDFDocuments/v/G/SPS/NEU178.DOC")</f>
        <v>https://docs.wto.org/imrd/directdoc.asp?DDFDocuments/v/G/SPS/NEU178.DOC</v>
      </c>
      <c r="L84" s="2" t="s">
        <v>8895</v>
      </c>
      <c r="M84" s="2" t="str">
        <f>HYPERLINK("https://docs.wto.org/imrd/directdoc.asp?DDFDocuments/t/G/SPS/NEU178.DOC")</f>
        <v>https://docs.wto.org/imrd/directdoc.asp?DDFDocuments/t/G/SPS/NEU178.DOC</v>
      </c>
      <c r="N84" s="2"/>
      <c r="O84" s="2"/>
      <c r="P84" s="14"/>
    </row>
    <row r="85" spans="1:21" s="19" customFormat="1" ht="409.5" x14ac:dyDescent="0.25">
      <c r="A85" s="25" t="s">
        <v>562</v>
      </c>
      <c r="B85" s="25" t="s">
        <v>9110</v>
      </c>
      <c r="C85" s="25" t="s">
        <v>9115</v>
      </c>
      <c r="D85" s="25" t="s">
        <v>9114</v>
      </c>
      <c r="E85" s="3">
        <v>42745</v>
      </c>
      <c r="F85" s="24" t="s">
        <v>46</v>
      </c>
      <c r="G85" s="24"/>
      <c r="H85" s="2" t="s">
        <v>9112</v>
      </c>
      <c r="I85" s="2" t="s">
        <v>9111</v>
      </c>
      <c r="J85" s="3">
        <v>42805</v>
      </c>
      <c r="K85" s="2" t="s">
        <v>9113</v>
      </c>
      <c r="L85" s="24"/>
      <c r="M85" s="24"/>
      <c r="N85" s="24"/>
      <c r="O85" s="24"/>
      <c r="P85" s="14"/>
    </row>
    <row r="86" spans="1:21" s="19" customFormat="1" ht="330" x14ac:dyDescent="0.25">
      <c r="A86" s="25" t="s">
        <v>225</v>
      </c>
      <c r="B86" s="25" t="s">
        <v>9018</v>
      </c>
      <c r="C86" s="25" t="s">
        <v>9017</v>
      </c>
      <c r="D86" s="25" t="s">
        <v>9016</v>
      </c>
      <c r="E86" s="29">
        <v>42726</v>
      </c>
      <c r="F86" s="2" t="s">
        <v>9015</v>
      </c>
      <c r="G86" s="18"/>
      <c r="H86" s="2" t="s">
        <v>2425</v>
      </c>
      <c r="I86" s="2" t="s">
        <v>2461</v>
      </c>
      <c r="J86" s="3">
        <v>42790</v>
      </c>
      <c r="K86" s="2" t="str">
        <f>HYPERLINK("https://docs.wto.org/imrd/directdoc.asp?DDFDocuments/t/G/SPS/NAUS411.DOC")</f>
        <v>https://docs.wto.org/imrd/directdoc.asp?DDFDocuments/t/G/SPS/NAUS411.DOC</v>
      </c>
      <c r="L86" s="18" t="s">
        <v>8895</v>
      </c>
      <c r="M86" s="18" t="str">
        <f>HYPERLINK("https://docs.wto.org/imrd/directdoc.asp?DDFDocuments/t/G/SPS/NAUS411.DOC")</f>
        <v>https://docs.wto.org/imrd/directdoc.asp?DDFDocuments/t/G/SPS/NAUS411.DOC</v>
      </c>
      <c r="N86" s="18"/>
      <c r="O86" s="18"/>
      <c r="P86" s="14"/>
    </row>
    <row r="87" spans="1:21" s="19" customFormat="1" ht="409.5" x14ac:dyDescent="0.25">
      <c r="A87" s="25" t="s">
        <v>12</v>
      </c>
      <c r="B87" s="25" t="s">
        <v>9014</v>
      </c>
      <c r="C87" s="25" t="s">
        <v>9013</v>
      </c>
      <c r="D87" s="25" t="s">
        <v>9012</v>
      </c>
      <c r="E87" s="29">
        <v>42724</v>
      </c>
      <c r="F87" s="2" t="s">
        <v>2704</v>
      </c>
      <c r="G87" s="18"/>
      <c r="H87" s="2" t="s">
        <v>2425</v>
      </c>
      <c r="I87" s="2" t="s">
        <v>2426</v>
      </c>
      <c r="J87" s="3">
        <v>42784</v>
      </c>
      <c r="K87" s="2" t="str">
        <f>HYPERLINK("https://docs.wto.org/imrd/directdoc.asp?DDFDocuments/t/G/SPS/NEU177.DOC")</f>
        <v>https://docs.wto.org/imrd/directdoc.asp?DDFDocuments/t/G/SPS/NEU177.DOC</v>
      </c>
      <c r="L87" s="18" t="s">
        <v>8895</v>
      </c>
      <c r="M87" s="18" t="str">
        <f>HYPERLINK("https://docs.wto.org/imrd/directdoc.asp?DDFDocuments/t/G/SPS/NEU177.DOC")</f>
        <v>https://docs.wto.org/imrd/directdoc.asp?DDFDocuments/t/G/SPS/NEU177.DOC</v>
      </c>
      <c r="N87" s="18"/>
      <c r="O87" s="18"/>
      <c r="P87" s="14"/>
    </row>
    <row r="88" spans="1:21" s="19" customFormat="1" ht="135" x14ac:dyDescent="0.25">
      <c r="A88" s="25" t="s">
        <v>25</v>
      </c>
      <c r="B88" s="25" t="s">
        <v>9011</v>
      </c>
      <c r="C88" s="25" t="s">
        <v>2528</v>
      </c>
      <c r="D88" s="25" t="s">
        <v>9010</v>
      </c>
      <c r="E88" s="29">
        <v>42723</v>
      </c>
      <c r="F88" s="2" t="s">
        <v>299</v>
      </c>
      <c r="G88" s="18"/>
      <c r="H88" s="2" t="s">
        <v>2425</v>
      </c>
      <c r="I88" s="2" t="s">
        <v>2453</v>
      </c>
      <c r="J88" s="3"/>
      <c r="K88" s="2" t="str">
        <f>HYPERLINK("https://docs.wto.org/imrd/directdoc.asp?DDFDocuments/t/G/SPS/NKOR552C1.DOC")</f>
        <v>https://docs.wto.org/imrd/directdoc.asp?DDFDocuments/t/G/SPS/NKOR552C1.DOC</v>
      </c>
      <c r="L88" s="18" t="s">
        <v>8999</v>
      </c>
      <c r="M88" s="18" t="str">
        <f>HYPERLINK("https://docs.wto.org/imrd/directdoc.asp?DDFDocuments/t/G/SPS/NKOR552C1.DOC")</f>
        <v>https://docs.wto.org/imrd/directdoc.asp?DDFDocuments/t/G/SPS/NKOR552C1.DOC</v>
      </c>
      <c r="N88" s="18"/>
      <c r="O88" s="18"/>
      <c r="P88" s="14"/>
    </row>
    <row r="89" spans="1:21" s="19" customFormat="1" ht="90" x14ac:dyDescent="0.25">
      <c r="A89" s="25" t="s">
        <v>115</v>
      </c>
      <c r="B89" s="25" t="s">
        <v>8992</v>
      </c>
      <c r="C89" s="25" t="s">
        <v>8993</v>
      </c>
      <c r="D89" s="25" t="s">
        <v>8994</v>
      </c>
      <c r="E89" s="3">
        <v>42720</v>
      </c>
      <c r="F89" s="2" t="s">
        <v>2606</v>
      </c>
      <c r="G89" s="2"/>
      <c r="H89" s="2" t="s">
        <v>2425</v>
      </c>
      <c r="I89" s="2" t="s">
        <v>2426</v>
      </c>
      <c r="J89" s="3">
        <v>42780</v>
      </c>
      <c r="K89" s="2" t="str">
        <f>HYPERLINK("https://docs.wto.org/imrd/directdoc.asp?DDFDocuments/t/G/SPS/NJPN483.DOC")</f>
        <v>https://docs.wto.org/imrd/directdoc.asp?DDFDocuments/t/G/SPS/NJPN483.DOC</v>
      </c>
      <c r="L89" s="18" t="s">
        <v>8895</v>
      </c>
      <c r="M89" s="18" t="str">
        <f>HYPERLINK("https://docs.wto.org/imrd/directdoc.asp?DDFDocuments/t/G/SPS/NJPN483.DOC")</f>
        <v>https://docs.wto.org/imrd/directdoc.asp?DDFDocuments/t/G/SPS/NJPN483.DOC</v>
      </c>
      <c r="N89" s="18"/>
      <c r="O89" s="18"/>
      <c r="P89" s="14"/>
    </row>
    <row r="90" spans="1:21" ht="255" x14ac:dyDescent="0.25">
      <c r="A90" s="25" t="s">
        <v>25</v>
      </c>
      <c r="B90" s="25" t="s">
        <v>8995</v>
      </c>
      <c r="C90" s="25" t="s">
        <v>2528</v>
      </c>
      <c r="D90" s="25" t="s">
        <v>8996</v>
      </c>
      <c r="E90" s="26">
        <v>42719</v>
      </c>
      <c r="F90" s="25" t="s">
        <v>299</v>
      </c>
      <c r="G90" s="25"/>
      <c r="H90" s="25" t="s">
        <v>2425</v>
      </c>
      <c r="I90" s="25" t="s">
        <v>2453</v>
      </c>
      <c r="J90" s="3">
        <v>42779</v>
      </c>
      <c r="K90" s="25" t="str">
        <f>HYPERLINK("https://docs.wto.org/imrd/directdoc.asp?DDFDocuments/t/G/SPS/NKOR552.DOC")</f>
        <v>https://docs.wto.org/imrd/directdoc.asp?DDFDocuments/t/G/SPS/NKOR552.DOC</v>
      </c>
      <c r="L90" s="22" t="s">
        <v>8895</v>
      </c>
      <c r="M90" s="22" t="str">
        <f>HYPERLINK("https://docs.wto.org/imrd/directdoc.asp?DDFDocuments/t/G/SPS/NKOR552.DOC")</f>
        <v>https://docs.wto.org/imrd/directdoc.asp?DDFDocuments/t/G/SPS/NKOR552.DOC</v>
      </c>
      <c r="N90" s="25"/>
      <c r="O90" s="25"/>
    </row>
    <row r="91" spans="1:21" s="19" customFormat="1" ht="195" x14ac:dyDescent="0.25">
      <c r="A91" s="2" t="s">
        <v>42</v>
      </c>
      <c r="B91" s="2" t="s">
        <v>9000</v>
      </c>
      <c r="C91" s="2" t="s">
        <v>9001</v>
      </c>
      <c r="D91" s="2" t="s">
        <v>9002</v>
      </c>
      <c r="E91" s="3">
        <v>42718</v>
      </c>
      <c r="F91" s="20" t="s">
        <v>9003</v>
      </c>
      <c r="G91" s="18"/>
      <c r="H91" s="2" t="s">
        <v>2573</v>
      </c>
      <c r="I91" s="2" t="s">
        <v>2461</v>
      </c>
      <c r="J91" s="3"/>
      <c r="K91" s="2" t="str">
        <f>HYPERLINK("https://docs.wto.org/imrd/directdoc.asp?DDFDocuments/t/G/SPS/NBRA1203.DOC")</f>
        <v>https://docs.wto.org/imrd/directdoc.asp?DDFDocuments/t/G/SPS/NBRA1203.DOC</v>
      </c>
      <c r="L91" s="18" t="s">
        <v>8895</v>
      </c>
      <c r="M91" s="18" t="str">
        <f>HYPERLINK("https://docs.wto.org/imrd/directdoc.asp?DDFDocuments/t/G/SPS/NBRA1203.DOC")</f>
        <v>https://docs.wto.org/imrd/directdoc.asp?DDFDocuments/t/G/SPS/NBRA1203.DOC</v>
      </c>
      <c r="N91" s="18"/>
      <c r="O91" s="18"/>
      <c r="P91" s="14"/>
    </row>
    <row r="92" spans="1:21" s="19" customFormat="1" ht="225" x14ac:dyDescent="0.25">
      <c r="A92" s="2" t="s">
        <v>77</v>
      </c>
      <c r="B92" s="2" t="s">
        <v>8988</v>
      </c>
      <c r="C92" s="2" t="s">
        <v>8989</v>
      </c>
      <c r="D92" s="2" t="s">
        <v>8990</v>
      </c>
      <c r="E92" s="3">
        <v>42717</v>
      </c>
      <c r="F92" s="2" t="s">
        <v>8991</v>
      </c>
      <c r="G92" s="2"/>
      <c r="H92" s="2" t="s">
        <v>2425</v>
      </c>
      <c r="I92" s="2" t="s">
        <v>2453</v>
      </c>
      <c r="J92" s="3">
        <v>42777</v>
      </c>
      <c r="K92" s="2" t="str">
        <f>HYPERLINK("https://docs.wto.org/imrd/directdoc.asp?DDFDocuments/u/G/SPS/NTPKM419.DOC")</f>
        <v>https://docs.wto.org/imrd/directdoc.asp?DDFDocuments/u/G/SPS/NTPKM419.DOC</v>
      </c>
      <c r="L92" s="18" t="s">
        <v>8895</v>
      </c>
      <c r="M92" s="18" t="str">
        <f>HYPERLINK("https://docs.wto.org/imrd/directdoc.asp?DDFDocuments/t/G/SPS/NTPKM419.DOC")</f>
        <v>https://docs.wto.org/imrd/directdoc.asp?DDFDocuments/t/G/SPS/NTPKM419.DOC</v>
      </c>
      <c r="N92" s="18"/>
      <c r="O92" s="18"/>
      <c r="P92" s="14"/>
    </row>
    <row r="93" spans="1:21" ht="409.5" x14ac:dyDescent="0.25">
      <c r="A93" s="2" t="s">
        <v>1908</v>
      </c>
      <c r="B93" s="2" t="s">
        <v>8984</v>
      </c>
      <c r="C93" s="2" t="s">
        <v>8985</v>
      </c>
      <c r="D93" s="2" t="s">
        <v>8987</v>
      </c>
      <c r="E93" s="3">
        <v>42717</v>
      </c>
      <c r="F93" s="2" t="s">
        <v>8986</v>
      </c>
      <c r="G93" s="2"/>
      <c r="H93" s="2" t="s">
        <v>2425</v>
      </c>
      <c r="I93" s="2" t="s">
        <v>2426</v>
      </c>
      <c r="J93" s="3">
        <v>42773</v>
      </c>
      <c r="K93" s="2" t="str">
        <f>HYPERLINK("https://docs.wto.org/imrd/directdoc.asp?DDFDocuments/u/G/SPS/NCAN1088.DOC")</f>
        <v>https://docs.wto.org/imrd/directdoc.asp?DDFDocuments/u/G/SPS/NCAN1088.DOC</v>
      </c>
      <c r="L93" s="18" t="s">
        <v>8895</v>
      </c>
      <c r="M93" s="18" t="str">
        <f>HYPERLINK("https://docs.wto.org/imrd/directdoc.asp?DDFDocuments/t/G/SPS/NCAN1088.DOC")</f>
        <v>https://docs.wto.org/imrd/directdoc.asp?DDFDocuments/t/G/SPS/NCAN1088.DOC</v>
      </c>
      <c r="N93" s="18"/>
      <c r="O93" s="18"/>
    </row>
    <row r="94" spans="1:21" ht="255" x14ac:dyDescent="0.25">
      <c r="A94" s="2" t="s">
        <v>225</v>
      </c>
      <c r="B94" s="2" t="s">
        <v>2427</v>
      </c>
      <c r="C94" s="2" t="s">
        <v>2428</v>
      </c>
      <c r="D94" s="2" t="s">
        <v>2429</v>
      </c>
      <c r="E94" s="3">
        <v>42706</v>
      </c>
      <c r="F94" s="2" t="s">
        <v>2430</v>
      </c>
      <c r="G94" s="2"/>
      <c r="H94" s="2" t="s">
        <v>2425</v>
      </c>
      <c r="I94" s="2" t="s">
        <v>2431</v>
      </c>
      <c r="J94" s="3">
        <v>42793</v>
      </c>
      <c r="K94" s="2" t="str">
        <f>HYPERLINK("https://docs.wto.org/imrd/directdoc.asp?DDFDocuments/t/G/SPS/NAUS408.DOC")</f>
        <v>https://docs.wto.org/imrd/directdoc.asp?DDFDocuments/t/G/SPS/NAUS408.DOC</v>
      </c>
      <c r="L94" s="2" t="str">
        <f t="shared" ref="L94:M101" si="15">HYPERLINK("null")</f>
        <v>null</v>
      </c>
      <c r="M94" s="2" t="str">
        <f t="shared" si="15"/>
        <v>null</v>
      </c>
      <c r="N94" s="2" t="str">
        <f>HYPERLINK("http://www.epingalert.org/#/details/G/SPS/N/AUS/408")</f>
        <v>http://www.epingalert.org/#/details/G/SPS/N/AUS/408</v>
      </c>
      <c r="O94" s="2"/>
    </row>
    <row r="95" spans="1:21" ht="120" x14ac:dyDescent="0.25">
      <c r="A95" s="2" t="s">
        <v>144</v>
      </c>
      <c r="B95" s="2" t="s">
        <v>2422</v>
      </c>
      <c r="C95" s="2" t="s">
        <v>2423</v>
      </c>
      <c r="D95" s="2" t="s">
        <v>2424</v>
      </c>
      <c r="E95" s="3">
        <v>42706</v>
      </c>
      <c r="F95" s="2" t="s">
        <v>153</v>
      </c>
      <c r="G95" s="2"/>
      <c r="H95" s="2" t="s">
        <v>2425</v>
      </c>
      <c r="I95" s="2" t="s">
        <v>2426</v>
      </c>
      <c r="J95" s="3">
        <v>42766</v>
      </c>
      <c r="K95" s="2" t="str">
        <f t="shared" ref="K95:K101" si="16">HYPERLINK("https://docs.wto.org/imrd/directdoc.asp?DDFDocuments/t/G/SPS/NARE86.DOC")</f>
        <v>https://docs.wto.org/imrd/directdoc.asp?DDFDocuments/t/G/SPS/NARE86.DOC</v>
      </c>
      <c r="L95" s="2" t="str">
        <f t="shared" si="15"/>
        <v>null</v>
      </c>
      <c r="M95" s="2" t="str">
        <f t="shared" si="15"/>
        <v>null</v>
      </c>
      <c r="N95" s="2" t="str">
        <f t="shared" ref="N95:N101" si="17">HYPERLINK("http://www.epingalert.org/#/details/G/SPS/N/ARE/86#G/SPS/N/BHR/163#G/SPS/N/KWT/12#G/SPS/N/OMN/63#G/SPS/N/QAT/67#G/SPS/N/SAU/218#G/SPS/N/YEM/8")</f>
        <v>http://www.epingalert.org/#/details/G/SPS/N/ARE/86#G/SPS/N/BHR/163#G/SPS/N/KWT/12#G/SPS/N/OMN/63#G/SPS/N/QAT/67#G/SPS/N/SAU/218#G/SPS/N/YEM/8</v>
      </c>
      <c r="O95" s="2" t="s">
        <v>8871</v>
      </c>
    </row>
    <row r="96" spans="1:21" ht="120" x14ac:dyDescent="0.25">
      <c r="A96" s="2" t="s">
        <v>173</v>
      </c>
      <c r="B96" s="2" t="s">
        <v>2422</v>
      </c>
      <c r="C96" s="2" t="s">
        <v>2423</v>
      </c>
      <c r="D96" s="2" t="s">
        <v>2424</v>
      </c>
      <c r="E96" s="3">
        <v>42706</v>
      </c>
      <c r="F96" s="2" t="s">
        <v>153</v>
      </c>
      <c r="G96" s="2"/>
      <c r="H96" s="2" t="s">
        <v>2425</v>
      </c>
      <c r="I96" s="2" t="s">
        <v>2426</v>
      </c>
      <c r="J96" s="3">
        <v>42766</v>
      </c>
      <c r="K96" s="2" t="str">
        <f t="shared" si="16"/>
        <v>https://docs.wto.org/imrd/directdoc.asp?DDFDocuments/t/G/SPS/NARE86.DOC</v>
      </c>
      <c r="L96" s="2" t="str">
        <f t="shared" si="15"/>
        <v>null</v>
      </c>
      <c r="M96" s="2" t="str">
        <f t="shared" si="15"/>
        <v>null</v>
      </c>
      <c r="N96" s="2" t="str">
        <f t="shared" si="17"/>
        <v>http://www.epingalert.org/#/details/G/SPS/N/ARE/86#G/SPS/N/BHR/163#G/SPS/N/KWT/12#G/SPS/N/OMN/63#G/SPS/N/QAT/67#G/SPS/N/SAU/218#G/SPS/N/YEM/8</v>
      </c>
      <c r="O96" s="2" t="s">
        <v>8871</v>
      </c>
    </row>
    <row r="97" spans="1:16" ht="120" x14ac:dyDescent="0.25">
      <c r="A97" s="2" t="s">
        <v>179</v>
      </c>
      <c r="B97" s="2" t="s">
        <v>2422</v>
      </c>
      <c r="C97" s="2" t="s">
        <v>2423</v>
      </c>
      <c r="D97" s="2" t="s">
        <v>2424</v>
      </c>
      <c r="E97" s="3">
        <v>42706</v>
      </c>
      <c r="F97" s="2" t="s">
        <v>153</v>
      </c>
      <c r="G97" s="2"/>
      <c r="H97" s="2" t="s">
        <v>2425</v>
      </c>
      <c r="I97" s="2" t="s">
        <v>2426</v>
      </c>
      <c r="J97" s="3">
        <v>42766</v>
      </c>
      <c r="K97" s="2" t="str">
        <f t="shared" si="16"/>
        <v>https://docs.wto.org/imrd/directdoc.asp?DDFDocuments/t/G/SPS/NARE86.DOC</v>
      </c>
      <c r="L97" s="2" t="str">
        <f t="shared" si="15"/>
        <v>null</v>
      </c>
      <c r="M97" s="2" t="str">
        <f t="shared" si="15"/>
        <v>null</v>
      </c>
      <c r="N97" s="2" t="str">
        <f t="shared" si="17"/>
        <v>http://www.epingalert.org/#/details/G/SPS/N/ARE/86#G/SPS/N/BHR/163#G/SPS/N/KWT/12#G/SPS/N/OMN/63#G/SPS/N/QAT/67#G/SPS/N/SAU/218#G/SPS/N/YEM/8</v>
      </c>
      <c r="O97" s="2" t="s">
        <v>8871</v>
      </c>
    </row>
    <row r="98" spans="1:16" ht="120" x14ac:dyDescent="0.25">
      <c r="A98" s="2" t="s">
        <v>181</v>
      </c>
      <c r="B98" s="2" t="s">
        <v>2422</v>
      </c>
      <c r="C98" s="2" t="s">
        <v>2423</v>
      </c>
      <c r="D98" s="2" t="s">
        <v>2424</v>
      </c>
      <c r="E98" s="3">
        <v>42706</v>
      </c>
      <c r="F98" s="2" t="s">
        <v>153</v>
      </c>
      <c r="G98" s="2"/>
      <c r="H98" s="2" t="s">
        <v>2425</v>
      </c>
      <c r="I98" s="2" t="s">
        <v>2426</v>
      </c>
      <c r="J98" s="3">
        <v>42766</v>
      </c>
      <c r="K98" s="2" t="str">
        <f t="shared" si="16"/>
        <v>https://docs.wto.org/imrd/directdoc.asp?DDFDocuments/t/G/SPS/NARE86.DOC</v>
      </c>
      <c r="L98" s="2" t="str">
        <f t="shared" si="15"/>
        <v>null</v>
      </c>
      <c r="M98" s="2" t="str">
        <f t="shared" si="15"/>
        <v>null</v>
      </c>
      <c r="N98" s="2" t="str">
        <f t="shared" si="17"/>
        <v>http://www.epingalert.org/#/details/G/SPS/N/ARE/86#G/SPS/N/BHR/163#G/SPS/N/KWT/12#G/SPS/N/OMN/63#G/SPS/N/QAT/67#G/SPS/N/SAU/218#G/SPS/N/YEM/8</v>
      </c>
      <c r="O98" s="2" t="s">
        <v>8871</v>
      </c>
    </row>
    <row r="99" spans="1:16" ht="120" x14ac:dyDescent="0.25">
      <c r="A99" s="2" t="s">
        <v>184</v>
      </c>
      <c r="B99" s="2" t="s">
        <v>2422</v>
      </c>
      <c r="C99" s="2" t="s">
        <v>2423</v>
      </c>
      <c r="D99" s="2" t="s">
        <v>2424</v>
      </c>
      <c r="E99" s="3">
        <v>42706</v>
      </c>
      <c r="F99" s="2" t="s">
        <v>153</v>
      </c>
      <c r="G99" s="2"/>
      <c r="H99" s="2" t="s">
        <v>2425</v>
      </c>
      <c r="I99" s="2" t="s">
        <v>2426</v>
      </c>
      <c r="J99" s="3">
        <v>42766</v>
      </c>
      <c r="K99" s="2" t="str">
        <f t="shared" si="16"/>
        <v>https://docs.wto.org/imrd/directdoc.asp?DDFDocuments/t/G/SPS/NARE86.DOC</v>
      </c>
      <c r="L99" s="2" t="str">
        <f t="shared" si="15"/>
        <v>null</v>
      </c>
      <c r="M99" s="2" t="str">
        <f t="shared" si="15"/>
        <v>null</v>
      </c>
      <c r="N99" s="2" t="str">
        <f t="shared" si="17"/>
        <v>http://www.epingalert.org/#/details/G/SPS/N/ARE/86#G/SPS/N/BHR/163#G/SPS/N/KWT/12#G/SPS/N/OMN/63#G/SPS/N/QAT/67#G/SPS/N/SAU/218#G/SPS/N/YEM/8</v>
      </c>
      <c r="O99" s="2" t="s">
        <v>8871</v>
      </c>
    </row>
    <row r="100" spans="1:16" ht="120" x14ac:dyDescent="0.25">
      <c r="A100" s="2" t="s">
        <v>180</v>
      </c>
      <c r="B100" s="2" t="s">
        <v>2422</v>
      </c>
      <c r="C100" s="2" t="s">
        <v>2423</v>
      </c>
      <c r="D100" s="2" t="s">
        <v>2424</v>
      </c>
      <c r="E100" s="3">
        <v>42706</v>
      </c>
      <c r="F100" s="2" t="s">
        <v>153</v>
      </c>
      <c r="G100" s="2"/>
      <c r="H100" s="2" t="s">
        <v>2425</v>
      </c>
      <c r="I100" s="2" t="s">
        <v>2426</v>
      </c>
      <c r="J100" s="3">
        <v>42766</v>
      </c>
      <c r="K100" s="2" t="str">
        <f t="shared" si="16"/>
        <v>https://docs.wto.org/imrd/directdoc.asp?DDFDocuments/t/G/SPS/NARE86.DOC</v>
      </c>
      <c r="L100" s="22" t="str">
        <f t="shared" si="15"/>
        <v>null</v>
      </c>
      <c r="M100" s="22" t="str">
        <f t="shared" si="15"/>
        <v>null</v>
      </c>
      <c r="N100" s="2" t="str">
        <f t="shared" si="17"/>
        <v>http://www.epingalert.org/#/details/G/SPS/N/ARE/86#G/SPS/N/BHR/163#G/SPS/N/KWT/12#G/SPS/N/OMN/63#G/SPS/N/QAT/67#G/SPS/N/SAU/218#G/SPS/N/YEM/8</v>
      </c>
      <c r="O100" s="2" t="s">
        <v>8871</v>
      </c>
      <c r="P100" s="16"/>
    </row>
    <row r="101" spans="1:16" ht="240" customHeight="1" x14ac:dyDescent="0.25">
      <c r="A101" s="2" t="s">
        <v>178</v>
      </c>
      <c r="B101" s="2" t="s">
        <v>2422</v>
      </c>
      <c r="C101" s="2" t="s">
        <v>2423</v>
      </c>
      <c r="D101" s="2" t="s">
        <v>2424</v>
      </c>
      <c r="E101" s="3">
        <v>42706</v>
      </c>
      <c r="F101" s="2" t="s">
        <v>153</v>
      </c>
      <c r="G101" s="2"/>
      <c r="H101" s="2" t="s">
        <v>2425</v>
      </c>
      <c r="I101" s="2" t="s">
        <v>2426</v>
      </c>
      <c r="J101" s="3">
        <v>42766</v>
      </c>
      <c r="K101" s="2" t="str">
        <f t="shared" si="16"/>
        <v>https://docs.wto.org/imrd/directdoc.asp?DDFDocuments/t/G/SPS/NARE86.DOC</v>
      </c>
      <c r="L101" s="2" t="str">
        <f t="shared" si="15"/>
        <v>null</v>
      </c>
      <c r="M101" s="2" t="str">
        <f t="shared" si="15"/>
        <v>null</v>
      </c>
      <c r="N101" s="2" t="str">
        <f t="shared" si="17"/>
        <v>http://www.epingalert.org/#/details/G/SPS/N/ARE/86#G/SPS/N/BHR/163#G/SPS/N/KWT/12#G/SPS/N/OMN/63#G/SPS/N/QAT/67#G/SPS/N/SAU/218#G/SPS/N/YEM/8</v>
      </c>
      <c r="O101" s="2" t="s">
        <v>8871</v>
      </c>
    </row>
    <row r="102" spans="1:16" ht="240" customHeight="1" x14ac:dyDescent="0.25">
      <c r="A102" s="2" t="s">
        <v>77</v>
      </c>
      <c r="B102" s="2" t="s">
        <v>2432</v>
      </c>
      <c r="C102" s="2" t="s">
        <v>2433</v>
      </c>
      <c r="D102" s="2" t="s">
        <v>2434</v>
      </c>
      <c r="E102" s="3">
        <v>42705</v>
      </c>
      <c r="F102" s="2" t="s">
        <v>2435</v>
      </c>
      <c r="G102" s="2"/>
      <c r="H102" s="2" t="s">
        <v>2425</v>
      </c>
      <c r="I102" s="2" t="s">
        <v>2426</v>
      </c>
      <c r="J102" s="3">
        <v>42765</v>
      </c>
      <c r="K102" s="2" t="str">
        <f>HYPERLINK("https://docs.wto.org/imrd/directdoc.asp?DDFDocuments/t/G/SPS/NTPKM417.DOC")</f>
        <v>https://docs.wto.org/imrd/directdoc.asp?DDFDocuments/t/G/SPS/NTPKM417.DOC</v>
      </c>
      <c r="L102" s="2" t="str">
        <f>HYPERLINK("null")</f>
        <v>null</v>
      </c>
      <c r="M102" s="2" t="str">
        <f>HYPERLINK("https://docs.wto.org/imrd/directdoc.asp?DDFDocuments/v/G/SPS/NTPKM417.DOC")</f>
        <v>https://docs.wto.org/imrd/directdoc.asp?DDFDocuments/v/G/SPS/NTPKM417.DOC</v>
      </c>
      <c r="N102" s="2" t="str">
        <f>HYPERLINK("http://www.epingalert.org/#/details/G/SPS/N/TPKM/417")</f>
        <v>http://www.epingalert.org/#/details/G/SPS/N/TPKM/417</v>
      </c>
      <c r="O102" s="2"/>
    </row>
    <row r="103" spans="1:16" ht="240" customHeight="1" x14ac:dyDescent="0.25">
      <c r="A103" s="2" t="s">
        <v>37</v>
      </c>
      <c r="B103" s="2" t="s">
        <v>6714</v>
      </c>
      <c r="C103" s="2" t="s">
        <v>6715</v>
      </c>
      <c r="D103" s="2" t="s">
        <v>6716</v>
      </c>
      <c r="E103" s="3">
        <v>42705</v>
      </c>
      <c r="F103" s="2" t="s">
        <v>6717</v>
      </c>
      <c r="G103" s="2" t="s">
        <v>2039</v>
      </c>
      <c r="H103" s="2" t="s">
        <v>2648</v>
      </c>
      <c r="I103" s="2" t="s">
        <v>6718</v>
      </c>
      <c r="J103" s="3">
        <v>42761</v>
      </c>
      <c r="K103" s="2" t="str">
        <f>HYPERLINK("https://docs.wto.org/imrd/directdoc.asp?DDFDocuments/t/G/SPS/NTUR20R1.DOC")</f>
        <v>https://docs.wto.org/imrd/directdoc.asp?DDFDocuments/t/G/SPS/NTUR20R1.DOC</v>
      </c>
      <c r="L103" s="2" t="str">
        <f>HYPERLINK("null")</f>
        <v>null</v>
      </c>
      <c r="M103" s="2" t="str">
        <f>HYPERLINK("https://docs.wto.org/imrd/directdoc.asp?DDFDocuments/v/G/SPS/NTUR20R1.DOC")</f>
        <v>https://docs.wto.org/imrd/directdoc.asp?DDFDocuments/v/G/SPS/NTUR20R1.DOC</v>
      </c>
      <c r="N103" s="2" t="str">
        <f>HYPERLINK("http://www.epingalert.org/#/details/G/SPS/N/TUR/20/Rev.1")</f>
        <v>http://www.epingalert.org/#/details/G/SPS/N/TUR/20/Rev.1</v>
      </c>
      <c r="O103" s="2"/>
    </row>
    <row r="104" spans="1:16" ht="240" customHeight="1" x14ac:dyDescent="0.25">
      <c r="A104" s="2" t="s">
        <v>225</v>
      </c>
      <c r="B104" s="2" t="s">
        <v>2436</v>
      </c>
      <c r="C104" s="2" t="s">
        <v>2437</v>
      </c>
      <c r="D104" s="2" t="s">
        <v>2438</v>
      </c>
      <c r="E104" s="3">
        <v>42699</v>
      </c>
      <c r="F104" s="2" t="s">
        <v>2430</v>
      </c>
      <c r="G104" s="2"/>
      <c r="H104" s="2" t="s">
        <v>2425</v>
      </c>
      <c r="I104" s="2" t="s">
        <v>2431</v>
      </c>
      <c r="J104" s="3">
        <v>42779</v>
      </c>
      <c r="K104" s="2" t="str">
        <f>HYPERLINK("https://docs.wto.org/imrd/directdoc.asp?DDFDocuments/t/G/SPS/NAUS406.DOC")</f>
        <v>https://docs.wto.org/imrd/directdoc.asp?DDFDocuments/t/G/SPS/NAUS406.DOC</v>
      </c>
      <c r="L104" s="2" t="str">
        <f>HYPERLINK("https://docs.wto.org/imrd/directdoc.asp?DDFDocuments/u/G/SPS/NAUS406.DOC")</f>
        <v>https://docs.wto.org/imrd/directdoc.asp?DDFDocuments/u/G/SPS/NAUS406.DOC</v>
      </c>
      <c r="M104" s="2" t="str">
        <f>HYPERLINK("https://docs.wto.org/imrd/directdoc.asp?DDFDocuments/v/G/SPS/NAUS406.DOC")</f>
        <v>https://docs.wto.org/imrd/directdoc.asp?DDFDocuments/v/G/SPS/NAUS406.DOC</v>
      </c>
      <c r="N104" s="2" t="str">
        <f>HYPERLINK("http://www.epingalert.org/#/details/G/SPS/N/AUS/406")</f>
        <v>http://www.epingalert.org/#/details/G/SPS/N/AUS/406</v>
      </c>
      <c r="O104" s="2"/>
    </row>
    <row r="105" spans="1:16" ht="240" customHeight="1" x14ac:dyDescent="0.25">
      <c r="A105" s="2" t="s">
        <v>1908</v>
      </c>
      <c r="B105" s="2" t="s">
        <v>6719</v>
      </c>
      <c r="C105" s="2" t="s">
        <v>6720</v>
      </c>
      <c r="D105" s="2" t="s">
        <v>6721</v>
      </c>
      <c r="E105" s="3">
        <v>42697</v>
      </c>
      <c r="F105" s="2" t="s">
        <v>6722</v>
      </c>
      <c r="G105" s="2" t="s">
        <v>6723</v>
      </c>
      <c r="H105" s="2" t="s">
        <v>2425</v>
      </c>
      <c r="I105" s="2" t="s">
        <v>2453</v>
      </c>
      <c r="J105" s="3">
        <v>42765</v>
      </c>
      <c r="K105" s="2" t="str">
        <f>HYPERLINK("https://docs.wto.org/imrd/directdoc.asp?DDFDocuments/t/G/SPS/NCAN1080.DOC")</f>
        <v>https://docs.wto.org/imrd/directdoc.asp?DDFDocuments/t/G/SPS/NCAN1080.DOC</v>
      </c>
      <c r="L105" s="2" t="str">
        <f>HYPERLINK("https://docs.wto.org/imrd/directdoc.asp?DDFDocuments/u/G/SPS/NCAN1080.DOC")</f>
        <v>https://docs.wto.org/imrd/directdoc.asp?DDFDocuments/u/G/SPS/NCAN1080.DOC</v>
      </c>
      <c r="M105" s="2" t="str">
        <f>HYPERLINK("https://docs.wto.org/imrd/directdoc.asp?DDFDocuments/v/G/SPS/NCAN1080.DOC")</f>
        <v>https://docs.wto.org/imrd/directdoc.asp?DDFDocuments/v/G/SPS/NCAN1080.DOC</v>
      </c>
      <c r="N105" s="2" t="str">
        <f>HYPERLINK("http://www.epingalert.org/#/details/G/SPS/N/CAN/1080")</f>
        <v>http://www.epingalert.org/#/details/G/SPS/N/CAN/1080</v>
      </c>
      <c r="O105" s="2"/>
    </row>
    <row r="106" spans="1:16" ht="240" customHeight="1" x14ac:dyDescent="0.25">
      <c r="A106" s="2" t="s">
        <v>37</v>
      </c>
      <c r="B106" s="2" t="s">
        <v>2445</v>
      </c>
      <c r="C106" s="2" t="s">
        <v>2446</v>
      </c>
      <c r="D106" s="2" t="s">
        <v>40</v>
      </c>
      <c r="E106" s="3">
        <v>42696</v>
      </c>
      <c r="F106" s="2" t="s">
        <v>41</v>
      </c>
      <c r="G106" s="2"/>
      <c r="H106" s="2" t="s">
        <v>2425</v>
      </c>
      <c r="I106" s="2" t="s">
        <v>2447</v>
      </c>
      <c r="J106" s="3">
        <v>42756</v>
      </c>
      <c r="K106" s="2" t="str">
        <f>HYPERLINK("https://docs.wto.org/imrd/directdoc.asp?DDFDocuments/t/G/SPS/NTUR81.DOC")</f>
        <v>https://docs.wto.org/imrd/directdoc.asp?DDFDocuments/t/G/SPS/NTUR81.DOC</v>
      </c>
      <c r="L106" s="2" t="str">
        <f>HYPERLINK("https://docs.wto.org/imrd/directdoc.asp?DDFDocuments/u/G/SPS/NTUR81.DOC")</f>
        <v>https://docs.wto.org/imrd/directdoc.asp?DDFDocuments/u/G/SPS/NTUR81.DOC</v>
      </c>
      <c r="M106" s="2" t="str">
        <f>HYPERLINK("https://docs.wto.org/imrd/directdoc.asp?DDFDocuments/v/G/SPS/NTUR81.DOC")</f>
        <v>https://docs.wto.org/imrd/directdoc.asp?DDFDocuments/v/G/SPS/NTUR81.DOC</v>
      </c>
      <c r="N106" s="2" t="str">
        <f>HYPERLINK("http://www.epingalert.org/#/details/G/SPS/N/TUR/81")</f>
        <v>http://www.epingalert.org/#/details/G/SPS/N/TUR/81</v>
      </c>
      <c r="O106" s="2"/>
    </row>
    <row r="107" spans="1:16" ht="240" customHeight="1" x14ac:dyDescent="0.25">
      <c r="A107" s="2" t="s">
        <v>37</v>
      </c>
      <c r="B107" s="2" t="s">
        <v>6724</v>
      </c>
      <c r="C107" s="2" t="s">
        <v>6725</v>
      </c>
      <c r="D107" s="2" t="s">
        <v>6726</v>
      </c>
      <c r="E107" s="3">
        <v>42696</v>
      </c>
      <c r="F107" s="2" t="s">
        <v>6727</v>
      </c>
      <c r="G107" s="2" t="s">
        <v>6728</v>
      </c>
      <c r="H107" s="2" t="s">
        <v>2425</v>
      </c>
      <c r="I107" s="2" t="s">
        <v>2461</v>
      </c>
      <c r="J107" s="3">
        <v>42756</v>
      </c>
      <c r="K107" s="2" t="str">
        <f>HYPERLINK("https://docs.wto.org/imrd/directdoc.asp?DDFDocuments/t/G/SPS/NTUR80.DOC")</f>
        <v>https://docs.wto.org/imrd/directdoc.asp?DDFDocuments/t/G/SPS/NTUR80.DOC</v>
      </c>
      <c r="L107" s="2" t="str">
        <f>HYPERLINK("https://docs.wto.org/imrd/directdoc.asp?DDFDocuments/u/G/SPS/NTUR80.DOC")</f>
        <v>https://docs.wto.org/imrd/directdoc.asp?DDFDocuments/u/G/SPS/NTUR80.DOC</v>
      </c>
      <c r="M107" s="2" t="str">
        <f>HYPERLINK("https://docs.wto.org/imrd/directdoc.asp?DDFDocuments/v/G/SPS/NTUR80.DOC")</f>
        <v>https://docs.wto.org/imrd/directdoc.asp?DDFDocuments/v/G/SPS/NTUR80.DOC</v>
      </c>
      <c r="N107" s="2" t="str">
        <f>HYPERLINK("http://www.epingalert.org/#/details/G/SPS/N/TUR/80")</f>
        <v>http://www.epingalert.org/#/details/G/SPS/N/TUR/80</v>
      </c>
      <c r="O107" s="2"/>
    </row>
    <row r="108" spans="1:16" ht="240" customHeight="1" x14ac:dyDescent="0.25">
      <c r="A108" s="2" t="s">
        <v>31</v>
      </c>
      <c r="B108" s="2" t="s">
        <v>2439</v>
      </c>
      <c r="C108" s="2" t="s">
        <v>2440</v>
      </c>
      <c r="D108" s="2" t="s">
        <v>2441</v>
      </c>
      <c r="E108" s="3">
        <v>42696</v>
      </c>
      <c r="F108" s="2" t="s">
        <v>2442</v>
      </c>
      <c r="G108" s="2" t="s">
        <v>2443</v>
      </c>
      <c r="H108" s="2" t="s">
        <v>2425</v>
      </c>
      <c r="I108" s="2" t="s">
        <v>2444</v>
      </c>
      <c r="J108" s="2"/>
      <c r="K108" s="2" t="str">
        <f>HYPERLINK("https://docs.wto.org/imrd/directdoc.asp?DDFDocuments/t/G/SPS/NTHA238A1.DOC")</f>
        <v>https://docs.wto.org/imrd/directdoc.asp?DDFDocuments/t/G/SPS/NTHA238A1.DOC</v>
      </c>
      <c r="L108" s="2" t="str">
        <f>HYPERLINK("https://docs.wto.org/imrd/directdoc.asp?DDFDocuments/u/G/SPS/NTHA238A1.DOC")</f>
        <v>https://docs.wto.org/imrd/directdoc.asp?DDFDocuments/u/G/SPS/NTHA238A1.DOC</v>
      </c>
      <c r="M108" s="2" t="str">
        <f>HYPERLINK("https://docs.wto.org/imrd/directdoc.asp?DDFDocuments/v/G/SPS/NTHA238A1.DOC")</f>
        <v>https://docs.wto.org/imrd/directdoc.asp?DDFDocuments/v/G/SPS/NTHA238A1.DOC</v>
      </c>
      <c r="N108" s="2" t="str">
        <f>HYPERLINK("http://www.epingalert.org/#/details/G/SPS/N/THA/238/Add.1")</f>
        <v>http://www.epingalert.org/#/details/G/SPS/N/THA/238/Add.1</v>
      </c>
      <c r="O108" s="2"/>
    </row>
    <row r="109" spans="1:16" ht="240" customHeight="1" x14ac:dyDescent="0.25">
      <c r="A109" s="2" t="s">
        <v>37</v>
      </c>
      <c r="B109" s="2" t="s">
        <v>6729</v>
      </c>
      <c r="C109" s="2" t="s">
        <v>6730</v>
      </c>
      <c r="D109" s="2" t="s">
        <v>6731</v>
      </c>
      <c r="E109" s="3">
        <v>42692</v>
      </c>
      <c r="F109" s="2" t="s">
        <v>1850</v>
      </c>
      <c r="G109" s="2" t="s">
        <v>1851</v>
      </c>
      <c r="H109" s="2" t="s">
        <v>2425</v>
      </c>
      <c r="I109" s="2" t="s">
        <v>2461</v>
      </c>
      <c r="J109" s="3">
        <v>42767</v>
      </c>
      <c r="K109" s="2" t="str">
        <f>HYPERLINK("https://docs.wto.org/imrd/directdoc.asp?DDFDocuments/t/G/SPS/NTUR42R1.DOC")</f>
        <v>https://docs.wto.org/imrd/directdoc.asp?DDFDocuments/t/G/SPS/NTUR42R1.DOC</v>
      </c>
      <c r="L109" s="2" t="str">
        <f>HYPERLINK("https://docs.wto.org/imrd/directdoc.asp?DDFDocuments/u/G/SPS/NTUR42R1.DOC")</f>
        <v>https://docs.wto.org/imrd/directdoc.asp?DDFDocuments/u/G/SPS/NTUR42R1.DOC</v>
      </c>
      <c r="M109" s="2" t="str">
        <f>HYPERLINK("https://docs.wto.org/imrd/directdoc.asp?DDFDocuments/v/G/SPS/NTUR42R1.DOC")</f>
        <v>https://docs.wto.org/imrd/directdoc.asp?DDFDocuments/v/G/SPS/NTUR42R1.DOC</v>
      </c>
      <c r="N109" s="2" t="str">
        <f>HYPERLINK("http://www.epingalert.org/#/details/G/SPS/N/TUR/42/Rev.1")</f>
        <v>http://www.epingalert.org/#/details/G/SPS/N/TUR/42/Rev.1</v>
      </c>
      <c r="O109" s="2"/>
    </row>
    <row r="110" spans="1:16" ht="240" customHeight="1" x14ac:dyDescent="0.25">
      <c r="A110" s="2" t="s">
        <v>12</v>
      </c>
      <c r="B110" s="2" t="s">
        <v>2448</v>
      </c>
      <c r="C110" s="2" t="s">
        <v>2449</v>
      </c>
      <c r="D110" s="2" t="s">
        <v>2450</v>
      </c>
      <c r="E110" s="3">
        <v>42690</v>
      </c>
      <c r="F110" s="2" t="s">
        <v>2451</v>
      </c>
      <c r="G110" s="2" t="s">
        <v>2452</v>
      </c>
      <c r="H110" s="2" t="s">
        <v>2425</v>
      </c>
      <c r="I110" s="2" t="s">
        <v>2453</v>
      </c>
      <c r="J110" s="3">
        <v>42750</v>
      </c>
      <c r="K110" s="2" t="str">
        <f>HYPERLINK("https://docs.wto.org/imrd/directdoc.asp?DDFDocuments/t/G/SPS/NEU173.DOC")</f>
        <v>https://docs.wto.org/imrd/directdoc.asp?DDFDocuments/t/G/SPS/NEU173.DOC</v>
      </c>
      <c r="L110" s="2" t="str">
        <f>HYPERLINK("https://docs.wto.org/imrd/directdoc.asp?DDFDocuments/u/G/SPS/NEU173.DOC")</f>
        <v>https://docs.wto.org/imrd/directdoc.asp?DDFDocuments/u/G/SPS/NEU173.DOC</v>
      </c>
      <c r="M110" s="2" t="str">
        <f>HYPERLINK("https://docs.wto.org/imrd/directdoc.asp?DDFDocuments/v/G/SPS/NEU173.DOC")</f>
        <v>https://docs.wto.org/imrd/directdoc.asp?DDFDocuments/v/G/SPS/NEU173.DOC</v>
      </c>
      <c r="N110" s="2" t="str">
        <f>HYPERLINK("http://www.epingalert.org/#/details/G/SPS/N/EU/173")</f>
        <v>http://www.epingalert.org/#/details/G/SPS/N/EU/173</v>
      </c>
      <c r="O110" s="2"/>
    </row>
    <row r="111" spans="1:16" ht="240" customHeight="1" x14ac:dyDescent="0.25">
      <c r="A111" s="2" t="s">
        <v>2456</v>
      </c>
      <c r="B111" s="2" t="s">
        <v>2457</v>
      </c>
      <c r="C111" s="2" t="s">
        <v>2458</v>
      </c>
      <c r="D111" s="2" t="s">
        <v>2459</v>
      </c>
      <c r="E111" s="3">
        <v>42689</v>
      </c>
      <c r="F111" s="2" t="s">
        <v>2460</v>
      </c>
      <c r="G111" s="2"/>
      <c r="H111" s="2" t="s">
        <v>2425</v>
      </c>
      <c r="I111" s="2" t="s">
        <v>2461</v>
      </c>
      <c r="J111" s="3">
        <v>42749</v>
      </c>
      <c r="K111" s="2" t="str">
        <f>HYPERLINK("https://docs.wto.org/imrd/directdoc.asp?DDFDocuments/t/G/SPS/NNPL24.DOC")</f>
        <v>https://docs.wto.org/imrd/directdoc.asp?DDFDocuments/t/G/SPS/NNPL24.DOC</v>
      </c>
      <c r="L111" s="2" t="str">
        <f>HYPERLINK("https://docs.wto.org/imrd/directdoc.asp?DDFDocuments/u/G/SPS/NNPL24.DOC")</f>
        <v>https://docs.wto.org/imrd/directdoc.asp?DDFDocuments/u/G/SPS/NNPL24.DOC</v>
      </c>
      <c r="M111" s="2" t="str">
        <f>HYPERLINK("https://docs.wto.org/imrd/directdoc.asp?DDFDocuments/v/G/SPS/NNPL24.DOC")</f>
        <v>https://docs.wto.org/imrd/directdoc.asp?DDFDocuments/v/G/SPS/NNPL24.DOC</v>
      </c>
      <c r="N111" s="2" t="str">
        <f>HYPERLINK("http://www.epingalert.org/#/details/G/SPS/N/NPL/24")</f>
        <v>http://www.epingalert.org/#/details/G/SPS/N/NPL/24</v>
      </c>
      <c r="O111" s="2"/>
    </row>
    <row r="112" spans="1:16" ht="240" customHeight="1" x14ac:dyDescent="0.25">
      <c r="A112" s="2" t="s">
        <v>2456</v>
      </c>
      <c r="B112" s="2" t="s">
        <v>6571</v>
      </c>
      <c r="C112" s="2" t="s">
        <v>6572</v>
      </c>
      <c r="D112" s="2" t="s">
        <v>6573</v>
      </c>
      <c r="E112" s="3">
        <v>42689</v>
      </c>
      <c r="F112" s="2" t="s">
        <v>6574</v>
      </c>
      <c r="G112" s="2" t="s">
        <v>6575</v>
      </c>
      <c r="H112" s="2" t="s">
        <v>2425</v>
      </c>
      <c r="I112" s="2" t="s">
        <v>2461</v>
      </c>
      <c r="J112" s="3">
        <v>42749</v>
      </c>
      <c r="K112" s="2" t="str">
        <f>HYPERLINK("https://docs.wto.org/imrd/directdoc.asp?DDFDocuments/t/G/SPS/NNPL23.DOC")</f>
        <v>https://docs.wto.org/imrd/directdoc.asp?DDFDocuments/t/G/SPS/NNPL23.DOC</v>
      </c>
      <c r="L112" s="2" t="str">
        <f>HYPERLINK("https://docs.wto.org/imrd/directdoc.asp?DDFDocuments/u/G/SPS/NNPL23.DOC")</f>
        <v>https://docs.wto.org/imrd/directdoc.asp?DDFDocuments/u/G/SPS/NNPL23.DOC</v>
      </c>
      <c r="M112" s="2" t="str">
        <f>HYPERLINK("https://docs.wto.org/imrd/directdoc.asp?DDFDocuments/v/G/SPS/NNPL23.DOC")</f>
        <v>https://docs.wto.org/imrd/directdoc.asp?DDFDocuments/v/G/SPS/NNPL23.DOC</v>
      </c>
      <c r="N112" s="2" t="str">
        <f>HYPERLINK("http://www.epingalert.org/#/details/G/SPS/N/NPL/23")</f>
        <v>http://www.epingalert.org/#/details/G/SPS/N/NPL/23</v>
      </c>
      <c r="O112" s="2"/>
    </row>
    <row r="113" spans="1:15" ht="240" customHeight="1" x14ac:dyDescent="0.25">
      <c r="A113" s="2" t="s">
        <v>144</v>
      </c>
      <c r="B113" s="2" t="s">
        <v>2468</v>
      </c>
      <c r="C113" s="2" t="s">
        <v>2469</v>
      </c>
      <c r="D113" s="2" t="s">
        <v>2470</v>
      </c>
      <c r="E113" s="3">
        <v>42688</v>
      </c>
      <c r="F113" s="2" t="s">
        <v>2471</v>
      </c>
      <c r="G113" s="2"/>
      <c r="H113" s="2" t="s">
        <v>2425</v>
      </c>
      <c r="I113" s="2" t="s">
        <v>2461</v>
      </c>
      <c r="J113" s="3">
        <v>42748</v>
      </c>
      <c r="K113" s="2" t="str">
        <f t="shared" ref="K113:K119" si="18">HYPERLINK("https://docs.wto.org/imrd/directdoc.asp?DDFDocuments/t/G/SPS/NARE82.DOC")</f>
        <v>https://docs.wto.org/imrd/directdoc.asp?DDFDocuments/t/G/SPS/NARE82.DOC</v>
      </c>
      <c r="L113" s="2" t="str">
        <f>HYPERLINK("null")</f>
        <v>null</v>
      </c>
      <c r="M113" s="2" t="str">
        <f>HYPERLINK("null")</f>
        <v>null</v>
      </c>
      <c r="N113" s="2" t="str">
        <f t="shared" ref="N113:N119" si="19">HYPERLINK("http://www.epingalert.org/#/details/G/SPS/N/ARE/82#G/SPS/N/BHR/162#G/SPS/N/KWT/11#G/SPS/N/OMN/62#G/SPS/N/QAT/66#G/SPS/N/SAU/216#G/SPS/N/YEM/7")</f>
        <v>http://www.epingalert.org/#/details/G/SPS/N/ARE/82#G/SPS/N/BHR/162#G/SPS/N/KWT/11#G/SPS/N/OMN/62#G/SPS/N/QAT/66#G/SPS/N/SAU/216#G/SPS/N/YEM/7</v>
      </c>
      <c r="O113" s="2"/>
    </row>
    <row r="114" spans="1:15" ht="240" customHeight="1" x14ac:dyDescent="0.25">
      <c r="A114" s="2" t="s">
        <v>180</v>
      </c>
      <c r="B114" s="2" t="s">
        <v>2468</v>
      </c>
      <c r="C114" s="2" t="s">
        <v>2469</v>
      </c>
      <c r="D114" s="2" t="s">
        <v>2470</v>
      </c>
      <c r="E114" s="3">
        <v>42688</v>
      </c>
      <c r="F114" s="2" t="s">
        <v>2471</v>
      </c>
      <c r="G114" s="2"/>
      <c r="H114" s="2" t="s">
        <v>2425</v>
      </c>
      <c r="I114" s="2" t="s">
        <v>2461</v>
      </c>
      <c r="J114" s="3">
        <v>42748</v>
      </c>
      <c r="K114" s="2" t="str">
        <f t="shared" si="18"/>
        <v>https://docs.wto.org/imrd/directdoc.asp?DDFDocuments/t/G/SPS/NARE82.DOC</v>
      </c>
      <c r="L114" s="2" t="str">
        <f>HYPERLINK("null")</f>
        <v>null</v>
      </c>
      <c r="M114" s="2" t="str">
        <f>HYPERLINK("null")</f>
        <v>null</v>
      </c>
      <c r="N114" s="2" t="str">
        <f t="shared" si="19"/>
        <v>http://www.epingalert.org/#/details/G/SPS/N/ARE/82#G/SPS/N/BHR/162#G/SPS/N/KWT/11#G/SPS/N/OMN/62#G/SPS/N/QAT/66#G/SPS/N/SAU/216#G/SPS/N/YEM/7</v>
      </c>
      <c r="O114" s="2"/>
    </row>
    <row r="115" spans="1:15" ht="240" customHeight="1" x14ac:dyDescent="0.25">
      <c r="A115" s="2" t="s">
        <v>173</v>
      </c>
      <c r="B115" s="2" t="s">
        <v>2468</v>
      </c>
      <c r="C115" s="2" t="s">
        <v>2469</v>
      </c>
      <c r="D115" s="2" t="s">
        <v>2470</v>
      </c>
      <c r="E115" s="3">
        <v>42688</v>
      </c>
      <c r="F115" s="2" t="s">
        <v>2471</v>
      </c>
      <c r="G115" s="2"/>
      <c r="H115" s="2" t="s">
        <v>2425</v>
      </c>
      <c r="I115" s="2" t="s">
        <v>2461</v>
      </c>
      <c r="J115" s="3">
        <v>42748</v>
      </c>
      <c r="K115" s="2" t="str">
        <f t="shared" si="18"/>
        <v>https://docs.wto.org/imrd/directdoc.asp?DDFDocuments/t/G/SPS/NARE82.DOC</v>
      </c>
      <c r="L115" s="2" t="str">
        <f>HYPERLINK("https://docs.wto.org/imrd/directdoc.asp?DDFDocuments/u/G/SPS/NARE82.DOC")</f>
        <v>https://docs.wto.org/imrd/directdoc.asp?DDFDocuments/u/G/SPS/NARE82.DOC</v>
      </c>
      <c r="M115" s="2" t="str">
        <f>HYPERLINK("https://docs.wto.org/imrd/directdoc.asp?DDFDocuments/v/G/SPS/NARE82.DOC")</f>
        <v>https://docs.wto.org/imrd/directdoc.asp?DDFDocuments/v/G/SPS/NARE82.DOC</v>
      </c>
      <c r="N115" s="2" t="str">
        <f t="shared" si="19"/>
        <v>http://www.epingalert.org/#/details/G/SPS/N/ARE/82#G/SPS/N/BHR/162#G/SPS/N/KWT/11#G/SPS/N/OMN/62#G/SPS/N/QAT/66#G/SPS/N/SAU/216#G/SPS/N/YEM/7</v>
      </c>
      <c r="O115" s="2"/>
    </row>
    <row r="116" spans="1:15" ht="240" customHeight="1" x14ac:dyDescent="0.25">
      <c r="A116" s="2" t="s">
        <v>178</v>
      </c>
      <c r="B116" s="2" t="s">
        <v>2468</v>
      </c>
      <c r="C116" s="2" t="s">
        <v>2469</v>
      </c>
      <c r="D116" s="2" t="s">
        <v>2470</v>
      </c>
      <c r="E116" s="3">
        <v>42688</v>
      </c>
      <c r="F116" s="2" t="s">
        <v>2471</v>
      </c>
      <c r="G116" s="2"/>
      <c r="H116" s="2" t="s">
        <v>2425</v>
      </c>
      <c r="I116" s="2" t="s">
        <v>2461</v>
      </c>
      <c r="J116" s="3">
        <v>42748</v>
      </c>
      <c r="K116" s="2" t="str">
        <f t="shared" si="18"/>
        <v>https://docs.wto.org/imrd/directdoc.asp?DDFDocuments/t/G/SPS/NARE82.DOC</v>
      </c>
      <c r="L116" s="2" t="str">
        <f t="shared" ref="L116:M119" si="20">HYPERLINK("null")</f>
        <v>null</v>
      </c>
      <c r="M116" s="2" t="str">
        <f t="shared" si="20"/>
        <v>null</v>
      </c>
      <c r="N116" s="2" t="str">
        <f t="shared" si="19"/>
        <v>http://www.epingalert.org/#/details/G/SPS/N/ARE/82#G/SPS/N/BHR/162#G/SPS/N/KWT/11#G/SPS/N/OMN/62#G/SPS/N/QAT/66#G/SPS/N/SAU/216#G/SPS/N/YEM/7</v>
      </c>
      <c r="O116" s="2"/>
    </row>
    <row r="117" spans="1:15" ht="240" customHeight="1" x14ac:dyDescent="0.25">
      <c r="A117" s="2" t="s">
        <v>179</v>
      </c>
      <c r="B117" s="2" t="s">
        <v>2468</v>
      </c>
      <c r="C117" s="2" t="s">
        <v>2469</v>
      </c>
      <c r="D117" s="2" t="s">
        <v>2470</v>
      </c>
      <c r="E117" s="3">
        <v>42688</v>
      </c>
      <c r="F117" s="2" t="s">
        <v>2471</v>
      </c>
      <c r="G117" s="2"/>
      <c r="H117" s="2" t="s">
        <v>2425</v>
      </c>
      <c r="I117" s="2" t="s">
        <v>2461</v>
      </c>
      <c r="J117" s="3">
        <v>42748</v>
      </c>
      <c r="K117" s="2" t="str">
        <f t="shared" si="18"/>
        <v>https://docs.wto.org/imrd/directdoc.asp?DDFDocuments/t/G/SPS/NARE82.DOC</v>
      </c>
      <c r="L117" s="2" t="str">
        <f t="shared" si="20"/>
        <v>null</v>
      </c>
      <c r="M117" s="2" t="str">
        <f t="shared" si="20"/>
        <v>null</v>
      </c>
      <c r="N117" s="2" t="str">
        <f t="shared" si="19"/>
        <v>http://www.epingalert.org/#/details/G/SPS/N/ARE/82#G/SPS/N/BHR/162#G/SPS/N/KWT/11#G/SPS/N/OMN/62#G/SPS/N/QAT/66#G/SPS/N/SAU/216#G/SPS/N/YEM/7</v>
      </c>
      <c r="O117" s="2"/>
    </row>
    <row r="118" spans="1:15" ht="240" customHeight="1" x14ac:dyDescent="0.25">
      <c r="A118" s="2" t="s">
        <v>184</v>
      </c>
      <c r="B118" s="2" t="s">
        <v>2468</v>
      </c>
      <c r="C118" s="2" t="s">
        <v>2472</v>
      </c>
      <c r="D118" s="2" t="s">
        <v>2470</v>
      </c>
      <c r="E118" s="3">
        <v>42688</v>
      </c>
      <c r="F118" s="2" t="s">
        <v>2471</v>
      </c>
      <c r="G118" s="2"/>
      <c r="H118" s="2" t="s">
        <v>2425</v>
      </c>
      <c r="I118" s="2" t="s">
        <v>2461</v>
      </c>
      <c r="J118" s="3">
        <v>42748</v>
      </c>
      <c r="K118" s="2" t="str">
        <f t="shared" si="18"/>
        <v>https://docs.wto.org/imrd/directdoc.asp?DDFDocuments/t/G/SPS/NARE82.DOC</v>
      </c>
      <c r="L118" s="2" t="str">
        <f t="shared" si="20"/>
        <v>null</v>
      </c>
      <c r="M118" s="2" t="str">
        <f t="shared" si="20"/>
        <v>null</v>
      </c>
      <c r="N118" s="2" t="str">
        <f t="shared" si="19"/>
        <v>http://www.epingalert.org/#/details/G/SPS/N/ARE/82#G/SPS/N/BHR/162#G/SPS/N/KWT/11#G/SPS/N/OMN/62#G/SPS/N/QAT/66#G/SPS/N/SAU/216#G/SPS/N/YEM/7</v>
      </c>
      <c r="O118" s="2"/>
    </row>
    <row r="119" spans="1:15" ht="240" customHeight="1" x14ac:dyDescent="0.25">
      <c r="A119" s="2" t="s">
        <v>181</v>
      </c>
      <c r="B119" s="2" t="s">
        <v>2468</v>
      </c>
      <c r="C119" s="2" t="s">
        <v>2469</v>
      </c>
      <c r="D119" s="2" t="s">
        <v>2470</v>
      </c>
      <c r="E119" s="3">
        <v>42688</v>
      </c>
      <c r="F119" s="2" t="s">
        <v>2471</v>
      </c>
      <c r="G119" s="2"/>
      <c r="H119" s="2" t="s">
        <v>2425</v>
      </c>
      <c r="I119" s="2" t="s">
        <v>2461</v>
      </c>
      <c r="J119" s="3">
        <v>42748</v>
      </c>
      <c r="K119" s="2" t="str">
        <f t="shared" si="18"/>
        <v>https://docs.wto.org/imrd/directdoc.asp?DDFDocuments/t/G/SPS/NARE82.DOC</v>
      </c>
      <c r="L119" s="2" t="str">
        <f t="shared" si="20"/>
        <v>null</v>
      </c>
      <c r="M119" s="2" t="str">
        <f t="shared" si="20"/>
        <v>null</v>
      </c>
      <c r="N119" s="2" t="str">
        <f t="shared" si="19"/>
        <v>http://www.epingalert.org/#/details/G/SPS/N/ARE/82#G/SPS/N/BHR/162#G/SPS/N/KWT/11#G/SPS/N/OMN/62#G/SPS/N/QAT/66#G/SPS/N/SAU/216#G/SPS/N/YEM/7</v>
      </c>
      <c r="O119" s="2"/>
    </row>
    <row r="120" spans="1:15" ht="240" customHeight="1" x14ac:dyDescent="0.25">
      <c r="A120" s="2" t="s">
        <v>115</v>
      </c>
      <c r="B120" s="2" t="s">
        <v>2462</v>
      </c>
      <c r="C120" s="2" t="s">
        <v>2463</v>
      </c>
      <c r="D120" s="2" t="s">
        <v>2464</v>
      </c>
      <c r="E120" s="3">
        <v>42688</v>
      </c>
      <c r="F120" s="2" t="s">
        <v>2465</v>
      </c>
      <c r="G120" s="2" t="s">
        <v>2466</v>
      </c>
      <c r="H120" s="2" t="s">
        <v>2467</v>
      </c>
      <c r="I120" s="2" t="s">
        <v>2444</v>
      </c>
      <c r="J120" s="2"/>
      <c r="K120" s="2" t="str">
        <f>HYPERLINK("https://docs.wto.org/imrd/directdoc.asp?DDFDocuments/t/G/SPS/NJPN471A1.DOC")</f>
        <v>https://docs.wto.org/imrd/directdoc.asp?DDFDocuments/t/G/SPS/NJPN471A1.DOC</v>
      </c>
      <c r="L120" s="2" t="str">
        <f>HYPERLINK("https://docs.wto.org/imrd/directdoc.asp?DDFDocuments/u/G/SPS/NJPN471A1.DOC")</f>
        <v>https://docs.wto.org/imrd/directdoc.asp?DDFDocuments/u/G/SPS/NJPN471A1.DOC</v>
      </c>
      <c r="M120" s="2" t="str">
        <f>HYPERLINK("https://docs.wto.org/imrd/directdoc.asp?DDFDocuments/v/G/SPS/NJPN471A1.DOC")</f>
        <v>https://docs.wto.org/imrd/directdoc.asp?DDFDocuments/v/G/SPS/NJPN471A1.DOC</v>
      </c>
      <c r="N120" s="2" t="str">
        <f>HYPERLINK("http://www.epingalert.org/#/details/G/SPS/N/JPN/471/Add.1")</f>
        <v>http://www.epingalert.org/#/details/G/SPS/N/JPN/471/Add.1</v>
      </c>
      <c r="O120" s="2"/>
    </row>
    <row r="121" spans="1:15" ht="240" customHeight="1" x14ac:dyDescent="0.25">
      <c r="A121" s="2" t="s">
        <v>6732</v>
      </c>
      <c r="B121" s="2" t="s">
        <v>6733</v>
      </c>
      <c r="C121" s="2" t="s">
        <v>6734</v>
      </c>
      <c r="D121" s="2" t="s">
        <v>6735</v>
      </c>
      <c r="E121" s="3">
        <v>42685</v>
      </c>
      <c r="F121" s="2"/>
      <c r="G121" s="2" t="s">
        <v>6736</v>
      </c>
      <c r="H121" s="2" t="s">
        <v>2573</v>
      </c>
      <c r="I121" s="2" t="s">
        <v>2491</v>
      </c>
      <c r="J121" s="3">
        <v>42776</v>
      </c>
      <c r="K121" s="2" t="str">
        <f>HYPERLINK("https://docs.wto.org/imrd/directdoc.asp?DDFDocuments/t/G/SPS/NCOL238A2.DOC")</f>
        <v>https://docs.wto.org/imrd/directdoc.asp?DDFDocuments/t/G/SPS/NCOL238A2.DOC</v>
      </c>
      <c r="L121" s="2" t="str">
        <f>HYPERLINK("https://docs.wto.org/imrd/directdoc.asp?DDFDocuments/u/G/SPS/NCOL238A2.DOC")</f>
        <v>https://docs.wto.org/imrd/directdoc.asp?DDFDocuments/u/G/SPS/NCOL238A2.DOC</v>
      </c>
      <c r="M121" s="2" t="str">
        <f>HYPERLINK("https://docs.wto.org/imrd/directdoc.asp?DDFDocuments/v/G/SPS/NCOL238A2.DOC")</f>
        <v>https://docs.wto.org/imrd/directdoc.asp?DDFDocuments/v/G/SPS/NCOL238A2.DOC</v>
      </c>
      <c r="N121" s="2" t="str">
        <f>HYPERLINK("http://www.epingalert.org/#/details/G/SPS/N/COL/238/Add.2")</f>
        <v>http://www.epingalert.org/#/details/G/SPS/N/COL/238/Add.2</v>
      </c>
      <c r="O121" s="2"/>
    </row>
    <row r="122" spans="1:15" ht="240" customHeight="1" x14ac:dyDescent="0.25">
      <c r="A122" s="2" t="s">
        <v>31</v>
      </c>
      <c r="B122" s="2" t="s">
        <v>2473</v>
      </c>
      <c r="C122" s="2" t="s">
        <v>2474</v>
      </c>
      <c r="D122" s="2" t="s">
        <v>2475</v>
      </c>
      <c r="E122" s="3">
        <v>42685</v>
      </c>
      <c r="F122" s="2" t="s">
        <v>2476</v>
      </c>
      <c r="G122" s="2" t="s">
        <v>2381</v>
      </c>
      <c r="H122" s="2" t="s">
        <v>2425</v>
      </c>
      <c r="I122" s="2" t="s">
        <v>2444</v>
      </c>
      <c r="J122" s="2"/>
      <c r="K122" s="2" t="str">
        <f>HYPERLINK("https://docs.wto.org/imrd/directdoc.asp?DDFDocuments/t/G/SPS/NTHA228A1.DOC")</f>
        <v>https://docs.wto.org/imrd/directdoc.asp?DDFDocuments/t/G/SPS/NTHA228A1.DOC</v>
      </c>
      <c r="L122" s="2" t="str">
        <f>HYPERLINK("https://docs.wto.org/imrd/directdoc.asp?DDFDocuments/u/G/SPS/NTHA228A1.DOC")</f>
        <v>https://docs.wto.org/imrd/directdoc.asp?DDFDocuments/u/G/SPS/NTHA228A1.DOC</v>
      </c>
      <c r="M122" s="2" t="str">
        <f>HYPERLINK("https://docs.wto.org/imrd/directdoc.asp?DDFDocuments/v/G/SPS/NTHA228A1.DOC")</f>
        <v>https://docs.wto.org/imrd/directdoc.asp?DDFDocuments/v/G/SPS/NTHA228A1.DOC</v>
      </c>
      <c r="N122" s="2" t="str">
        <f>HYPERLINK("http://www.epingalert.org/#/details/G/SPS/N/THA/228/Add.1")</f>
        <v>http://www.epingalert.org/#/details/G/SPS/N/THA/228/Add.1</v>
      </c>
      <c r="O122" s="2"/>
    </row>
    <row r="123" spans="1:15" ht="240" customHeight="1" x14ac:dyDescent="0.25">
      <c r="A123" s="2" t="s">
        <v>158</v>
      </c>
      <c r="B123" s="2" t="s">
        <v>6737</v>
      </c>
      <c r="C123" s="2" t="s">
        <v>6738</v>
      </c>
      <c r="D123" s="2" t="s">
        <v>6739</v>
      </c>
      <c r="E123" s="3">
        <v>42684</v>
      </c>
      <c r="F123" s="2" t="s">
        <v>6740</v>
      </c>
      <c r="G123" s="2" t="s">
        <v>2262</v>
      </c>
      <c r="H123" s="2" t="s">
        <v>6741</v>
      </c>
      <c r="I123" s="2" t="s">
        <v>6742</v>
      </c>
      <c r="J123" s="3">
        <v>42744</v>
      </c>
      <c r="K123" s="2" t="str">
        <f>HYPERLINK("https://docs.wto.org/imrd/directdoc.asp?DDFDocuments/t/G/SPS/NCRI181.DOC")</f>
        <v>https://docs.wto.org/imrd/directdoc.asp?DDFDocuments/t/G/SPS/NCRI181.DOC</v>
      </c>
      <c r="L123" s="2" t="str">
        <f>HYPERLINK("https://docs.wto.org/imrd/directdoc.asp?DDFDocuments/u/G/SPS/NCRI181.DOC")</f>
        <v>https://docs.wto.org/imrd/directdoc.asp?DDFDocuments/u/G/SPS/NCRI181.DOC</v>
      </c>
      <c r="M123" s="2" t="str">
        <f>HYPERLINK("https://docs.wto.org/imrd/directdoc.asp?DDFDocuments/v/G/SPS/NCRI181.DOC")</f>
        <v>https://docs.wto.org/imrd/directdoc.asp?DDFDocuments/v/G/SPS/NCRI181.DOC</v>
      </c>
      <c r="N123" s="2" t="str">
        <f>HYPERLINK("http://www.epingalert.org/#/details/G/SPS/N/CRI/181")</f>
        <v>http://www.epingalert.org/#/details/G/SPS/N/CRI/181</v>
      </c>
      <c r="O123" s="2"/>
    </row>
    <row r="124" spans="1:15" ht="240" customHeight="1" x14ac:dyDescent="0.25">
      <c r="A124" s="2" t="s">
        <v>12</v>
      </c>
      <c r="B124" s="2" t="s">
        <v>2482</v>
      </c>
      <c r="C124" s="2" t="s">
        <v>2483</v>
      </c>
      <c r="D124" s="2" t="s">
        <v>2484</v>
      </c>
      <c r="E124" s="3">
        <v>42683</v>
      </c>
      <c r="F124" s="2" t="s">
        <v>69</v>
      </c>
      <c r="G124" s="2"/>
      <c r="H124" s="2" t="s">
        <v>2454</v>
      </c>
      <c r="I124" s="2" t="s">
        <v>2485</v>
      </c>
      <c r="J124" s="3">
        <v>42743</v>
      </c>
      <c r="K124" s="2" t="str">
        <f>HYPERLINK("https://docs.wto.org/imrd/directdoc.asp?DDFDocuments/t/G/SPS/NEU172.DOC")</f>
        <v>https://docs.wto.org/imrd/directdoc.asp?DDFDocuments/t/G/SPS/NEU172.DOC</v>
      </c>
      <c r="L124" s="2" t="str">
        <f>HYPERLINK("https://docs.wto.org/imrd/directdoc.asp?DDFDocuments/u/G/SPS/NEU172.DOC")</f>
        <v>https://docs.wto.org/imrd/directdoc.asp?DDFDocuments/u/G/SPS/NEU172.DOC</v>
      </c>
      <c r="M124" s="2" t="str">
        <f>HYPERLINK("https://docs.wto.org/imrd/directdoc.asp?DDFDocuments/v/G/SPS/NEU172.DOC")</f>
        <v>https://docs.wto.org/imrd/directdoc.asp?DDFDocuments/v/G/SPS/NEU172.DOC</v>
      </c>
      <c r="N124" s="2" t="str">
        <f>HYPERLINK("http://www.epingalert.org/#/details/G/SPS/N/EU/172")</f>
        <v>http://www.epingalert.org/#/details/G/SPS/N/EU/172</v>
      </c>
      <c r="O124" s="2"/>
    </row>
    <row r="125" spans="1:15" ht="240" customHeight="1" x14ac:dyDescent="0.25">
      <c r="A125" s="2" t="s">
        <v>128</v>
      </c>
      <c r="B125" s="2" t="s">
        <v>2477</v>
      </c>
      <c r="C125" s="2" t="s">
        <v>2478</v>
      </c>
      <c r="D125" s="2" t="s">
        <v>2479</v>
      </c>
      <c r="E125" s="3">
        <v>42683</v>
      </c>
      <c r="F125" s="2" t="s">
        <v>2480</v>
      </c>
      <c r="G125" s="2" t="s">
        <v>2481</v>
      </c>
      <c r="H125" s="2" t="s">
        <v>2425</v>
      </c>
      <c r="I125" s="2" t="s">
        <v>2461</v>
      </c>
      <c r="J125" s="2"/>
      <c r="K125" s="2" t="str">
        <f>HYPERLINK("https://docs.wto.org/imrd/directdoc.asp?DDFDocuments/t/G/SPS/NPER679.DOC")</f>
        <v>https://docs.wto.org/imrd/directdoc.asp?DDFDocuments/t/G/SPS/NPER679.DOC</v>
      </c>
      <c r="L125" s="2" t="str">
        <f>HYPERLINK("https://docs.wto.org/imrd/directdoc.asp?DDFDocuments/u/G/SPS/NPER679.DOC")</f>
        <v>https://docs.wto.org/imrd/directdoc.asp?DDFDocuments/u/G/SPS/NPER679.DOC</v>
      </c>
      <c r="M125" s="2" t="str">
        <f>HYPERLINK("https://docs.wto.org/imrd/directdoc.asp?DDFDocuments/v/G/SPS/NPER679.DOC")</f>
        <v>https://docs.wto.org/imrd/directdoc.asp?DDFDocuments/v/G/SPS/NPER679.DOC</v>
      </c>
      <c r="N125" s="2" t="str">
        <f>HYPERLINK("http://www.epingalert.org/#/details/G/SPS/N/PER/679")</f>
        <v>http://www.epingalert.org/#/details/G/SPS/N/PER/679</v>
      </c>
      <c r="O125" s="2"/>
    </row>
    <row r="126" spans="1:15" ht="240" customHeight="1" x14ac:dyDescent="0.25">
      <c r="A126" s="2" t="s">
        <v>18</v>
      </c>
      <c r="B126" s="2" t="s">
        <v>6743</v>
      </c>
      <c r="C126" s="2" t="s">
        <v>6744</v>
      </c>
      <c r="D126" s="2" t="s">
        <v>6745</v>
      </c>
      <c r="E126" s="3">
        <v>42681</v>
      </c>
      <c r="F126" s="2" t="s">
        <v>6746</v>
      </c>
      <c r="G126" s="2" t="s">
        <v>6747</v>
      </c>
      <c r="H126" s="2" t="s">
        <v>2425</v>
      </c>
      <c r="I126" s="2" t="s">
        <v>4362</v>
      </c>
      <c r="J126" s="2"/>
      <c r="K126" s="2" t="str">
        <f>HYPERLINK("https://docs.wto.org/imrd/directdoc.asp?DDFDocuments/t/G/SPS/NUSA2909.DOC")</f>
        <v>https://docs.wto.org/imrd/directdoc.asp?DDFDocuments/t/G/SPS/NUSA2909.DOC</v>
      </c>
      <c r="L126" s="2" t="str">
        <f>HYPERLINK("https://docs.wto.org/imrd/directdoc.asp?DDFDocuments/u/G/SPS/NUSA2909.DOC")</f>
        <v>https://docs.wto.org/imrd/directdoc.asp?DDFDocuments/u/G/SPS/NUSA2909.DOC</v>
      </c>
      <c r="M126" s="2" t="str">
        <f>HYPERLINK("https://docs.wto.org/imrd/directdoc.asp?DDFDocuments/v/G/SPS/NUSA2909.DOC")</f>
        <v>https://docs.wto.org/imrd/directdoc.asp?DDFDocuments/v/G/SPS/NUSA2909.DOC</v>
      </c>
      <c r="N126" s="2" t="str">
        <f>HYPERLINK("http://www.epingalert.org/#/details/G/SPS/N/USA/2909")</f>
        <v>http://www.epingalert.org/#/details/G/SPS/N/USA/2909</v>
      </c>
      <c r="O126" s="2"/>
    </row>
    <row r="127" spans="1:15" ht="240" customHeight="1" x14ac:dyDescent="0.25">
      <c r="A127" s="2" t="s">
        <v>225</v>
      </c>
      <c r="B127" s="2" t="s">
        <v>2492</v>
      </c>
      <c r="C127" s="2" t="s">
        <v>2493</v>
      </c>
      <c r="D127" s="2" t="s">
        <v>2494</v>
      </c>
      <c r="E127" s="3">
        <v>42678</v>
      </c>
      <c r="F127" s="2" t="s">
        <v>2430</v>
      </c>
      <c r="G127" s="2"/>
      <c r="H127" s="2" t="s">
        <v>2425</v>
      </c>
      <c r="I127" s="2" t="s">
        <v>2431</v>
      </c>
      <c r="J127" s="3">
        <v>42748</v>
      </c>
      <c r="K127" s="2" t="str">
        <f>HYPERLINK("https://docs.wto.org/imrd/directdoc.asp?DDFDocuments/t/G/SPS/NAUS404.DOC")</f>
        <v>https://docs.wto.org/imrd/directdoc.asp?DDFDocuments/t/G/SPS/NAUS404.DOC</v>
      </c>
      <c r="L127" s="2" t="str">
        <f>HYPERLINK("https://docs.wto.org/imrd/directdoc.asp?DDFDocuments/u/G/SPS/NAUS404.DOC")</f>
        <v>https://docs.wto.org/imrd/directdoc.asp?DDFDocuments/u/G/SPS/NAUS404.DOC</v>
      </c>
      <c r="M127" s="2" t="str">
        <f>HYPERLINK("https://docs.wto.org/imrd/directdoc.asp?DDFDocuments/v/G/SPS/NAUS404.DOC")</f>
        <v>https://docs.wto.org/imrd/directdoc.asp?DDFDocuments/v/G/SPS/NAUS404.DOC</v>
      </c>
      <c r="N127" s="2" t="str">
        <f>HYPERLINK("http://www.epingalert.org/#/details/G/SPS/N/AUS/404")</f>
        <v>http://www.epingalert.org/#/details/G/SPS/N/AUS/404</v>
      </c>
      <c r="O127" s="2"/>
    </row>
    <row r="128" spans="1:15" ht="240" customHeight="1" x14ac:dyDescent="0.25">
      <c r="A128" s="2" t="s">
        <v>225</v>
      </c>
      <c r="B128" s="2" t="s">
        <v>2500</v>
      </c>
      <c r="C128" s="2" t="s">
        <v>2501</v>
      </c>
      <c r="D128" s="2" t="s">
        <v>2502</v>
      </c>
      <c r="E128" s="3">
        <v>42678</v>
      </c>
      <c r="F128" s="2" t="s">
        <v>2503</v>
      </c>
      <c r="G128" s="2"/>
      <c r="H128" s="2" t="s">
        <v>2425</v>
      </c>
      <c r="I128" s="2" t="s">
        <v>2499</v>
      </c>
      <c r="J128" s="3">
        <v>42748</v>
      </c>
      <c r="K128" s="2" t="str">
        <f>HYPERLINK("https://docs.wto.org/imrd/directdoc.asp?DDFDocuments/t/G/SPS/NAUS405.DOC")</f>
        <v>https://docs.wto.org/imrd/directdoc.asp?DDFDocuments/t/G/SPS/NAUS405.DOC</v>
      </c>
      <c r="L128" s="2" t="str">
        <f>HYPERLINK("https://docs.wto.org/imrd/directdoc.asp?DDFDocuments/u/G/SPS/NAUS405.DOC")</f>
        <v>https://docs.wto.org/imrd/directdoc.asp?DDFDocuments/u/G/SPS/NAUS405.DOC</v>
      </c>
      <c r="M128" s="2" t="str">
        <f>HYPERLINK("https://docs.wto.org/imrd/directdoc.asp?DDFDocuments/v/G/SPS/NAUS405.DOC")</f>
        <v>https://docs.wto.org/imrd/directdoc.asp?DDFDocuments/v/G/SPS/NAUS405.DOC</v>
      </c>
      <c r="N128" s="2" t="str">
        <f>HYPERLINK("http://www.epingalert.org/#/details/G/SPS/N/AUS/405")</f>
        <v>http://www.epingalert.org/#/details/G/SPS/N/AUS/405</v>
      </c>
      <c r="O128" s="2"/>
    </row>
    <row r="129" spans="1:15" ht="240" customHeight="1" x14ac:dyDescent="0.25">
      <c r="A129" s="2" t="s">
        <v>1908</v>
      </c>
      <c r="B129" s="2" t="s">
        <v>2495</v>
      </c>
      <c r="C129" s="2" t="s">
        <v>2496</v>
      </c>
      <c r="D129" s="2" t="s">
        <v>2497</v>
      </c>
      <c r="E129" s="3">
        <v>42678</v>
      </c>
      <c r="F129" s="2" t="s">
        <v>2498</v>
      </c>
      <c r="G129" s="2"/>
      <c r="H129" s="2" t="s">
        <v>2425</v>
      </c>
      <c r="I129" s="2" t="s">
        <v>2499</v>
      </c>
      <c r="J129" s="3">
        <v>42737</v>
      </c>
      <c r="K129" s="2" t="str">
        <f>HYPERLINK("https://docs.wto.org/imrd/directdoc.asp?DDFDocuments/t/G/SPS/NCAN1071.DOC")</f>
        <v>https://docs.wto.org/imrd/directdoc.asp?DDFDocuments/t/G/SPS/NCAN1071.DOC</v>
      </c>
      <c r="L129" s="2" t="str">
        <f>HYPERLINK("https://docs.wto.org/imrd/directdoc.asp?DDFDocuments/u/G/SPS/NCAN1071.DOC")</f>
        <v>https://docs.wto.org/imrd/directdoc.asp?DDFDocuments/u/G/SPS/NCAN1071.DOC</v>
      </c>
      <c r="M129" s="2" t="str">
        <f>HYPERLINK("https://docs.wto.org/imrd/directdoc.asp?DDFDocuments/v/G/SPS/NCAN1071.DOC")</f>
        <v>https://docs.wto.org/imrd/directdoc.asp?DDFDocuments/v/G/SPS/NCAN1071.DOC</v>
      </c>
      <c r="N129" s="2" t="str">
        <f>HYPERLINK("http://www.epingalert.org/#/details/G/SPS/N/CAN/1071")</f>
        <v>http://www.epingalert.org/#/details/G/SPS/N/CAN/1071</v>
      </c>
      <c r="O129" s="2"/>
    </row>
    <row r="130" spans="1:15" ht="240" customHeight="1" x14ac:dyDescent="0.25">
      <c r="A130" s="2" t="s">
        <v>37</v>
      </c>
      <c r="B130" s="2" t="s">
        <v>2486</v>
      </c>
      <c r="C130" s="2" t="s">
        <v>2487</v>
      </c>
      <c r="D130" s="2" t="s">
        <v>2488</v>
      </c>
      <c r="E130" s="3">
        <v>42678</v>
      </c>
      <c r="F130" s="2" t="s">
        <v>2489</v>
      </c>
      <c r="G130" s="2"/>
      <c r="H130" s="2" t="s">
        <v>2490</v>
      </c>
      <c r="I130" s="2" t="s">
        <v>2491</v>
      </c>
      <c r="J130" s="2"/>
      <c r="K130" s="2" t="str">
        <f>HYPERLINK("https://docs.wto.org/imrd/directdoc.asp?DDFDocuments/t/G/SPS/NTUR9A2.DOC")</f>
        <v>https://docs.wto.org/imrd/directdoc.asp?DDFDocuments/t/G/SPS/NTUR9A2.DOC</v>
      </c>
      <c r="L130" s="2" t="str">
        <f>HYPERLINK("https://docs.wto.org/imrd/directdoc.asp?DDFDocuments/u/G/SPS/NTUR9A2.DOC")</f>
        <v>https://docs.wto.org/imrd/directdoc.asp?DDFDocuments/u/G/SPS/NTUR9A2.DOC</v>
      </c>
      <c r="M130" s="2" t="str">
        <f>HYPERLINK("https://docs.wto.org/imrd/directdoc.asp?DDFDocuments/v/G/SPS/NTUR9A2.DOC")</f>
        <v>https://docs.wto.org/imrd/directdoc.asp?DDFDocuments/v/G/SPS/NTUR9A2.DOC</v>
      </c>
      <c r="N130" s="2" t="str">
        <f>HYPERLINK("http://www.epingalert.org/#/details/G/SPS/N/TUR/9/Add.2")</f>
        <v>http://www.epingalert.org/#/details/G/SPS/N/TUR/9/Add.2</v>
      </c>
      <c r="O130" s="2"/>
    </row>
    <row r="131" spans="1:15" ht="240" customHeight="1" x14ac:dyDescent="0.25">
      <c r="A131" s="2" t="s">
        <v>12</v>
      </c>
      <c r="B131" s="2" t="s">
        <v>2508</v>
      </c>
      <c r="C131" s="2" t="s">
        <v>2509</v>
      </c>
      <c r="D131" s="2" t="s">
        <v>2510</v>
      </c>
      <c r="E131" s="3">
        <v>42674</v>
      </c>
      <c r="F131" s="2" t="s">
        <v>2451</v>
      </c>
      <c r="G131" s="2" t="s">
        <v>2511</v>
      </c>
      <c r="H131" s="2" t="s">
        <v>2425</v>
      </c>
      <c r="I131" s="2" t="s">
        <v>2453</v>
      </c>
      <c r="J131" s="3">
        <v>42734</v>
      </c>
      <c r="K131" s="2" t="str">
        <f>HYPERLINK("https://docs.wto.org/imrd/directdoc.asp?DDFDocuments/t/G/SPS/NEU171.DOC")</f>
        <v>https://docs.wto.org/imrd/directdoc.asp?DDFDocuments/t/G/SPS/NEU171.DOC</v>
      </c>
      <c r="L131" s="2" t="str">
        <f>HYPERLINK("https://docs.wto.org/imrd/directdoc.asp?DDFDocuments/u/G/SPS/NEU171.DOC")</f>
        <v>https://docs.wto.org/imrd/directdoc.asp?DDFDocuments/u/G/SPS/NEU171.DOC</v>
      </c>
      <c r="M131" s="2" t="str">
        <f>HYPERLINK("https://docs.wto.org/imrd/directdoc.asp?DDFDocuments/v/G/SPS/NEU171.DOC")</f>
        <v>https://docs.wto.org/imrd/directdoc.asp?DDFDocuments/v/G/SPS/NEU171.DOC</v>
      </c>
      <c r="N131" s="2" t="str">
        <f>HYPERLINK("http://www.epingalert.org/#/details/G/SPS/N/EU/171")</f>
        <v>http://www.epingalert.org/#/details/G/SPS/N/EU/171</v>
      </c>
      <c r="O131" s="2"/>
    </row>
    <row r="132" spans="1:15" ht="240" customHeight="1" x14ac:dyDescent="0.25">
      <c r="A132" s="2" t="s">
        <v>12</v>
      </c>
      <c r="B132" s="2" t="s">
        <v>2504</v>
      </c>
      <c r="C132" s="2" t="s">
        <v>2505</v>
      </c>
      <c r="D132" s="2" t="s">
        <v>2506</v>
      </c>
      <c r="E132" s="3">
        <v>42674</v>
      </c>
      <c r="F132" s="2" t="s">
        <v>2507</v>
      </c>
      <c r="G132" s="2"/>
      <c r="H132" s="2" t="s">
        <v>2425</v>
      </c>
      <c r="I132" s="2" t="s">
        <v>2444</v>
      </c>
      <c r="J132" s="2"/>
      <c r="K132" s="2" t="str">
        <f>HYPERLINK("https://docs.wto.org/imrd/directdoc.asp?DDFDocuments/t/G/SPS/NEU163A1.DOC")</f>
        <v>https://docs.wto.org/imrd/directdoc.asp?DDFDocuments/t/G/SPS/NEU163A1.DOC</v>
      </c>
      <c r="L132" s="2" t="str">
        <f>HYPERLINK("https://docs.wto.org/imrd/directdoc.asp?DDFDocuments/u/G/SPS/NEU163A1.DOC")</f>
        <v>https://docs.wto.org/imrd/directdoc.asp?DDFDocuments/u/G/SPS/NEU163A1.DOC</v>
      </c>
      <c r="M132" s="2" t="str">
        <f>HYPERLINK("https://docs.wto.org/imrd/directdoc.asp?DDFDocuments/v/G/SPS/NEU163A1.DOC")</f>
        <v>https://docs.wto.org/imrd/directdoc.asp?DDFDocuments/v/G/SPS/NEU163A1.DOC</v>
      </c>
      <c r="N132" s="2" t="str">
        <f>HYPERLINK("http://www.epingalert.org/#/details/G/SPS/N/EU/163/Add.1")</f>
        <v>http://www.epingalert.org/#/details/G/SPS/N/EU/163/Add.1</v>
      </c>
      <c r="O132" s="2"/>
    </row>
    <row r="133" spans="1:15" ht="240" customHeight="1" x14ac:dyDescent="0.25">
      <c r="A133" s="2" t="s">
        <v>12</v>
      </c>
      <c r="B133" s="2" t="s">
        <v>2512</v>
      </c>
      <c r="C133" s="2" t="s">
        <v>2513</v>
      </c>
      <c r="D133" s="2" t="s">
        <v>2514</v>
      </c>
      <c r="E133" s="3">
        <v>42671</v>
      </c>
      <c r="F133" s="2" t="s">
        <v>2451</v>
      </c>
      <c r="G133" s="2" t="s">
        <v>2515</v>
      </c>
      <c r="H133" s="2" t="s">
        <v>2425</v>
      </c>
      <c r="I133" s="2" t="s">
        <v>2444</v>
      </c>
      <c r="J133" s="2"/>
      <c r="K133" s="2" t="str">
        <f>HYPERLINK("https://docs.wto.org/imrd/directdoc.asp?DDFDocuments/t/G/SPS/NEU158A1.DOC")</f>
        <v>https://docs.wto.org/imrd/directdoc.asp?DDFDocuments/t/G/SPS/NEU158A1.DOC</v>
      </c>
      <c r="L133" s="2" t="str">
        <f>HYPERLINK("https://docs.wto.org/imrd/directdoc.asp?DDFDocuments/u/G/SPS/NEU158A1.DOC")</f>
        <v>https://docs.wto.org/imrd/directdoc.asp?DDFDocuments/u/G/SPS/NEU158A1.DOC</v>
      </c>
      <c r="M133" s="2" t="str">
        <f>HYPERLINK("https://docs.wto.org/imrd/directdoc.asp?DDFDocuments/v/G/SPS/NEU158A1.DOC")</f>
        <v>https://docs.wto.org/imrd/directdoc.asp?DDFDocuments/v/G/SPS/NEU158A1.DOC</v>
      </c>
      <c r="N133" s="2" t="str">
        <f>HYPERLINK("http://www.epingalert.org/#/details/G/SPS/N/EU/158/Add.1")</f>
        <v>http://www.epingalert.org/#/details/G/SPS/N/EU/158/Add.1</v>
      </c>
      <c r="O133" s="2"/>
    </row>
    <row r="134" spans="1:15" ht="240" customHeight="1" x14ac:dyDescent="0.25">
      <c r="A134" s="2" t="s">
        <v>77</v>
      </c>
      <c r="B134" s="2" t="s">
        <v>2516</v>
      </c>
      <c r="C134" s="2" t="s">
        <v>2517</v>
      </c>
      <c r="D134" s="2" t="s">
        <v>2518</v>
      </c>
      <c r="E134" s="3">
        <v>42668</v>
      </c>
      <c r="F134" s="2" t="s">
        <v>2519</v>
      </c>
      <c r="G134" s="2"/>
      <c r="H134" s="2" t="s">
        <v>2425</v>
      </c>
      <c r="I134" s="2"/>
      <c r="J134" s="3">
        <v>42728</v>
      </c>
      <c r="K134" s="2" t="str">
        <f>HYPERLINK("https://docs.wto.org/imrd/directdoc.asp?DDFDocuments/t/G/SPS/NTPKM414.DOC")</f>
        <v>https://docs.wto.org/imrd/directdoc.asp?DDFDocuments/t/G/SPS/NTPKM414.DOC</v>
      </c>
      <c r="L134" s="2" t="str">
        <f>HYPERLINK("https://docs.wto.org/imrd/directdoc.asp?DDFDocuments/u/G/SPS/NTPKM414.DOC")</f>
        <v>https://docs.wto.org/imrd/directdoc.asp?DDFDocuments/u/G/SPS/NTPKM414.DOC</v>
      </c>
      <c r="M134" s="2" t="str">
        <f>HYPERLINK("https://docs.wto.org/imrd/directdoc.asp?DDFDocuments/v/G/SPS/NTPKM414.DOC")</f>
        <v>https://docs.wto.org/imrd/directdoc.asp?DDFDocuments/v/G/SPS/NTPKM414.DOC</v>
      </c>
      <c r="N134" s="2" t="str">
        <f>HYPERLINK("http://www.epingalert.org/#/details/G/SPS/N/TPKM/414")</f>
        <v>http://www.epingalert.org/#/details/G/SPS/N/TPKM/414</v>
      </c>
      <c r="O134" s="2"/>
    </row>
    <row r="135" spans="1:15" ht="240" customHeight="1" x14ac:dyDescent="0.25">
      <c r="A135" s="2" t="s">
        <v>211</v>
      </c>
      <c r="B135" s="2" t="s">
        <v>2520</v>
      </c>
      <c r="C135" s="2" t="s">
        <v>2521</v>
      </c>
      <c r="D135" s="2" t="s">
        <v>2522</v>
      </c>
      <c r="E135" s="3">
        <v>42668</v>
      </c>
      <c r="F135" s="2" t="s">
        <v>2523</v>
      </c>
      <c r="G135" s="2"/>
      <c r="H135" s="2" t="s">
        <v>2425</v>
      </c>
      <c r="I135" s="2"/>
      <c r="J135" s="3">
        <v>42709</v>
      </c>
      <c r="K135" s="2" t="str">
        <f>HYPERLINK("https://docs.wto.org/imrd/directdoc.asp?DDFDocuments/t/G/SPS/NNZL546.DOC")</f>
        <v>https://docs.wto.org/imrd/directdoc.asp?DDFDocuments/t/G/SPS/NNZL546.DOC</v>
      </c>
      <c r="L135" s="2" t="str">
        <f>HYPERLINK("https://docs.wto.org/imrd/directdoc.asp?DDFDocuments/u/G/SPS/NNZL546.DOC")</f>
        <v>https://docs.wto.org/imrd/directdoc.asp?DDFDocuments/u/G/SPS/NNZL546.DOC</v>
      </c>
      <c r="M135" s="2" t="str">
        <f>HYPERLINK("https://docs.wto.org/imrd/directdoc.asp?DDFDocuments/v/G/SPS/NNZL546.DOC")</f>
        <v>https://docs.wto.org/imrd/directdoc.asp?DDFDocuments/v/G/SPS/NNZL546.DOC</v>
      </c>
      <c r="N135" s="2" t="str">
        <f>HYPERLINK("http://www.epingalert.org/#/details/G/SPS/N/NZL/546")</f>
        <v>http://www.epingalert.org/#/details/G/SPS/N/NZL/546</v>
      </c>
      <c r="O135" s="2" t="s">
        <v>8879</v>
      </c>
    </row>
    <row r="136" spans="1:15" ht="240" customHeight="1" x14ac:dyDescent="0.25">
      <c r="A136" s="2" t="s">
        <v>380</v>
      </c>
      <c r="B136" s="2" t="s">
        <v>2524</v>
      </c>
      <c r="C136" s="2" t="s">
        <v>2525</v>
      </c>
      <c r="D136" s="2" t="s">
        <v>2526</v>
      </c>
      <c r="E136" s="3">
        <v>42667</v>
      </c>
      <c r="F136" s="2" t="s">
        <v>210</v>
      </c>
      <c r="G136" s="2"/>
      <c r="H136" s="2" t="s">
        <v>2425</v>
      </c>
      <c r="I136" s="2" t="s">
        <v>2453</v>
      </c>
      <c r="J136" s="3">
        <v>42727</v>
      </c>
      <c r="K136" s="2" t="str">
        <f>HYPERLINK("https://docs.wto.org/imrd/directdoc.asp?DDFDocuments/t/G/SPS/NCHN1053.DOC")</f>
        <v>https://docs.wto.org/imrd/directdoc.asp?DDFDocuments/t/G/SPS/NCHN1053.DOC</v>
      </c>
      <c r="L136" s="2" t="str">
        <f>HYPERLINK("https://docs.wto.org/imrd/directdoc.asp?DDFDocuments/u/G/SPS/NCHN1053.DOC")</f>
        <v>https://docs.wto.org/imrd/directdoc.asp?DDFDocuments/u/G/SPS/NCHN1053.DOC</v>
      </c>
      <c r="M136" s="2" t="str">
        <f>HYPERLINK("https://docs.wto.org/imrd/directdoc.asp?DDFDocuments/v/G/SPS/NCHN1053.DOC")</f>
        <v>https://docs.wto.org/imrd/directdoc.asp?DDFDocuments/v/G/SPS/NCHN1053.DOC</v>
      </c>
      <c r="N136" s="2" t="str">
        <f>HYPERLINK("http://www.epingalert.org/#/details/G/SPS/N/CHN/1053")</f>
        <v>http://www.epingalert.org/#/details/G/SPS/N/CHN/1053</v>
      </c>
      <c r="O136" s="2"/>
    </row>
    <row r="137" spans="1:15" ht="240" customHeight="1" x14ac:dyDescent="0.25">
      <c r="A137" s="2" t="s">
        <v>25</v>
      </c>
      <c r="B137" s="2" t="s">
        <v>2527</v>
      </c>
      <c r="C137" s="2" t="s">
        <v>2528</v>
      </c>
      <c r="D137" s="2" t="s">
        <v>2529</v>
      </c>
      <c r="E137" s="3">
        <v>42662</v>
      </c>
      <c r="F137" s="2" t="s">
        <v>299</v>
      </c>
      <c r="G137" s="2"/>
      <c r="H137" s="2" t="s">
        <v>2425</v>
      </c>
      <c r="I137" s="2" t="s">
        <v>2530</v>
      </c>
      <c r="J137" s="3">
        <v>42722</v>
      </c>
      <c r="K137" s="2" t="str">
        <f>HYPERLINK("https://docs.wto.org/imrd/directdoc.asp?DDFDocuments/t/G/SPS/NKOR550.DOC")</f>
        <v>https://docs.wto.org/imrd/directdoc.asp?DDFDocuments/t/G/SPS/NKOR550.DOC</v>
      </c>
      <c r="L137" s="2" t="str">
        <f>HYPERLINK("https://docs.wto.org/imrd/directdoc.asp?DDFDocuments/u/G/SPS/NKOR550.DOC")</f>
        <v>https://docs.wto.org/imrd/directdoc.asp?DDFDocuments/u/G/SPS/NKOR550.DOC</v>
      </c>
      <c r="M137" s="2" t="str">
        <f>HYPERLINK("https://docs.wto.org/imrd/directdoc.asp?DDFDocuments/v/G/SPS/NKOR550.DOC")</f>
        <v>https://docs.wto.org/imrd/directdoc.asp?DDFDocuments/v/G/SPS/NKOR550.DOC</v>
      </c>
      <c r="N137" s="2" t="str">
        <f>HYPERLINK("http://www.epingalert.org/#/details/G/SPS/N/KOR/550")</f>
        <v>http://www.epingalert.org/#/details/G/SPS/N/KOR/550</v>
      </c>
      <c r="O137" s="2"/>
    </row>
    <row r="138" spans="1:15" ht="240" customHeight="1" x14ac:dyDescent="0.25">
      <c r="A138" s="2" t="s">
        <v>37</v>
      </c>
      <c r="B138" s="2" t="s">
        <v>2531</v>
      </c>
      <c r="C138" s="2" t="s">
        <v>2532</v>
      </c>
      <c r="D138" s="2" t="s">
        <v>2533</v>
      </c>
      <c r="E138" s="3">
        <v>42660</v>
      </c>
      <c r="F138" s="2" t="s">
        <v>2534</v>
      </c>
      <c r="G138" s="2"/>
      <c r="H138" s="2" t="s">
        <v>2425</v>
      </c>
      <c r="I138" s="2" t="s">
        <v>2535</v>
      </c>
      <c r="J138" s="3">
        <v>42720</v>
      </c>
      <c r="K138" s="2" t="str">
        <f>HYPERLINK("https://docs.wto.org/imrd/directdoc.asp?DDFDocuments/t/G/SPS/NTUR79.DOC")</f>
        <v>https://docs.wto.org/imrd/directdoc.asp?DDFDocuments/t/G/SPS/NTUR79.DOC</v>
      </c>
      <c r="L138" s="2" t="str">
        <f>HYPERLINK("https://docs.wto.org/imrd/directdoc.asp?DDFDocuments/u/G/SPS/NTUR79.DOC")</f>
        <v>https://docs.wto.org/imrd/directdoc.asp?DDFDocuments/u/G/SPS/NTUR79.DOC</v>
      </c>
      <c r="M138" s="2" t="str">
        <f>HYPERLINK("https://docs.wto.org/imrd/directdoc.asp?DDFDocuments/v/G/SPS/NTUR79.DOC")</f>
        <v>https://docs.wto.org/imrd/directdoc.asp?DDFDocuments/v/G/SPS/NTUR79.DOC</v>
      </c>
      <c r="N138" s="2" t="str">
        <f>HYPERLINK("http://www.epingalert.org/#/details/G/SPS/N/TUR/79")</f>
        <v>http://www.epingalert.org/#/details/G/SPS/N/TUR/79</v>
      </c>
      <c r="O138" s="2"/>
    </row>
    <row r="139" spans="1:15" ht="240" customHeight="1" x14ac:dyDescent="0.25">
      <c r="A139" s="2" t="s">
        <v>121</v>
      </c>
      <c r="B139" s="2" t="s">
        <v>2536</v>
      </c>
      <c r="C139" s="2" t="s">
        <v>2537</v>
      </c>
      <c r="D139" s="2" t="s">
        <v>2538</v>
      </c>
      <c r="E139" s="3">
        <v>42660</v>
      </c>
      <c r="F139" s="2" t="s">
        <v>2539</v>
      </c>
      <c r="G139" s="2"/>
      <c r="H139" s="2" t="s">
        <v>2425</v>
      </c>
      <c r="I139" s="2" t="s">
        <v>2461</v>
      </c>
      <c r="J139" s="3">
        <v>42720</v>
      </c>
      <c r="K139" s="2" t="str">
        <f>HYPERLINK("https://docs.wto.org/imrd/directdoc.asp?DDFDocuments/t/G/SPS/NIND163.DOC")</f>
        <v>https://docs.wto.org/imrd/directdoc.asp?DDFDocuments/t/G/SPS/NIND163.DOC</v>
      </c>
      <c r="L139" s="2" t="str">
        <f>HYPERLINK("https://docs.wto.org/imrd/directdoc.asp?DDFDocuments/u/G/SPS/NIND163.DOC")</f>
        <v>https://docs.wto.org/imrd/directdoc.asp?DDFDocuments/u/G/SPS/NIND163.DOC</v>
      </c>
      <c r="M139" s="2" t="str">
        <f>HYPERLINK("https://docs.wto.org/imrd/directdoc.asp?DDFDocuments/v/G/SPS/NIND163.DOC")</f>
        <v>https://docs.wto.org/imrd/directdoc.asp?DDFDocuments/v/G/SPS/NIND163.DOC</v>
      </c>
      <c r="N139" s="2" t="str">
        <f>HYPERLINK("http://www.epingalert.org/#/details/G/SPS/N/IND/163")</f>
        <v>http://www.epingalert.org/#/details/G/SPS/N/IND/163</v>
      </c>
      <c r="O139" s="2"/>
    </row>
    <row r="140" spans="1:15" ht="240" customHeight="1" x14ac:dyDescent="0.25">
      <c r="A140" s="2" t="s">
        <v>121</v>
      </c>
      <c r="B140" s="2" t="s">
        <v>2540</v>
      </c>
      <c r="C140" s="2" t="s">
        <v>2541</v>
      </c>
      <c r="D140" s="2" t="s">
        <v>2542</v>
      </c>
      <c r="E140" s="3">
        <v>42660</v>
      </c>
      <c r="F140" s="8" t="s">
        <v>2543</v>
      </c>
      <c r="G140" s="2"/>
      <c r="H140" s="2" t="s">
        <v>2425</v>
      </c>
      <c r="I140" s="2" t="s">
        <v>2461</v>
      </c>
      <c r="J140" s="3">
        <v>42720</v>
      </c>
      <c r="K140" s="2" t="str">
        <f>HYPERLINK("https://docs.wto.org/imrd/directdoc.asp?DDFDocuments/t/G/SPS/NIND162.DOC")</f>
        <v>https://docs.wto.org/imrd/directdoc.asp?DDFDocuments/t/G/SPS/NIND162.DOC</v>
      </c>
      <c r="L140" s="2" t="str">
        <f>HYPERLINK("https://docs.wto.org/imrd/directdoc.asp?DDFDocuments/u/G/SPS/NIND162.DOC")</f>
        <v>https://docs.wto.org/imrd/directdoc.asp?DDFDocuments/u/G/SPS/NIND162.DOC</v>
      </c>
      <c r="M140" s="2" t="str">
        <f>HYPERLINK("https://docs.wto.org/imrd/directdoc.asp?DDFDocuments/v/G/SPS/NIND162.DOC")</f>
        <v>https://docs.wto.org/imrd/directdoc.asp?DDFDocuments/v/G/SPS/NIND162.DOC</v>
      </c>
      <c r="N140" s="2" t="str">
        <f>HYPERLINK("http://www.epingalert.org/#/details/G/SPS/N/IND/162")</f>
        <v>http://www.epingalert.org/#/details/G/SPS/N/IND/162</v>
      </c>
      <c r="O140" s="2" t="s">
        <v>8880</v>
      </c>
    </row>
    <row r="141" spans="1:15" ht="240" customHeight="1" x14ac:dyDescent="0.25">
      <c r="A141" s="2" t="s">
        <v>37</v>
      </c>
      <c r="B141" s="2" t="s">
        <v>6498</v>
      </c>
      <c r="C141" s="2" t="s">
        <v>6499</v>
      </c>
      <c r="D141" s="2" t="s">
        <v>6500</v>
      </c>
      <c r="E141" s="3">
        <v>42660</v>
      </c>
      <c r="F141" s="2" t="s">
        <v>6501</v>
      </c>
      <c r="G141" s="2" t="s">
        <v>6502</v>
      </c>
      <c r="H141" s="2" t="s">
        <v>2425</v>
      </c>
      <c r="I141" s="2" t="s">
        <v>6503</v>
      </c>
      <c r="J141" s="3">
        <v>42720</v>
      </c>
      <c r="K141" s="2" t="str">
        <f>HYPERLINK("https://docs.wto.org/imrd/directdoc.asp?DDFDocuments/t/G/SPS/NTUR77.DOC")</f>
        <v>https://docs.wto.org/imrd/directdoc.asp?DDFDocuments/t/G/SPS/NTUR77.DOC</v>
      </c>
      <c r="L141" s="2" t="str">
        <f>HYPERLINK("https://docs.wto.org/imrd/directdoc.asp?DDFDocuments/u/G/SPS/NTUR77.DOC")</f>
        <v>https://docs.wto.org/imrd/directdoc.asp?DDFDocuments/u/G/SPS/NTUR77.DOC</v>
      </c>
      <c r="M141" s="2" t="str">
        <f>HYPERLINK("https://docs.wto.org/imrd/directdoc.asp?DDFDocuments/v/G/SPS/NTUR77.DOC")</f>
        <v>https://docs.wto.org/imrd/directdoc.asp?DDFDocuments/v/G/SPS/NTUR77.DOC</v>
      </c>
      <c r="N141" s="2" t="str">
        <f>HYPERLINK("http://www.epingalert.org/#/details/G/SPS/N/TUR/77")</f>
        <v>http://www.epingalert.org/#/details/G/SPS/N/TUR/77</v>
      </c>
      <c r="O141" s="2"/>
    </row>
    <row r="142" spans="1:15" ht="240" customHeight="1" x14ac:dyDescent="0.25">
      <c r="A142" s="2" t="s">
        <v>225</v>
      </c>
      <c r="B142" s="2" t="s">
        <v>6748</v>
      </c>
      <c r="C142" s="2" t="s">
        <v>6749</v>
      </c>
      <c r="D142" s="2" t="s">
        <v>6750</v>
      </c>
      <c r="E142" s="3">
        <v>42657</v>
      </c>
      <c r="F142" s="2" t="s">
        <v>6751</v>
      </c>
      <c r="G142" s="2" t="s">
        <v>6752</v>
      </c>
      <c r="H142" s="2" t="s">
        <v>2425</v>
      </c>
      <c r="I142" s="2" t="s">
        <v>2461</v>
      </c>
      <c r="J142" s="3">
        <v>42717</v>
      </c>
      <c r="K142" s="2" t="str">
        <f>HYPERLINK("https://docs.wto.org/imrd/directdoc.asp?DDFDocuments/t/G/SPS/NAUS403.DOC")</f>
        <v>https://docs.wto.org/imrd/directdoc.asp?DDFDocuments/t/G/SPS/NAUS403.DOC</v>
      </c>
      <c r="L142" s="2" t="str">
        <f>HYPERLINK("https://docs.wto.org/imrd/directdoc.asp?DDFDocuments/u/G/SPS/NAUS403.DOC")</f>
        <v>https://docs.wto.org/imrd/directdoc.asp?DDFDocuments/u/G/SPS/NAUS403.DOC</v>
      </c>
      <c r="M142" s="2" t="str">
        <f>HYPERLINK("https://docs.wto.org/imrd/directdoc.asp?DDFDocuments/v/G/SPS/NAUS403.DOC")</f>
        <v>https://docs.wto.org/imrd/directdoc.asp?DDFDocuments/v/G/SPS/NAUS403.DOC</v>
      </c>
      <c r="N142" s="2" t="str">
        <f>HYPERLINK("http://www.epingalert.org/#/details/G/SPS/N/AUS/403")</f>
        <v>http://www.epingalert.org/#/details/G/SPS/N/AUS/403</v>
      </c>
      <c r="O142" s="2"/>
    </row>
    <row r="143" spans="1:15" ht="240" customHeight="1" x14ac:dyDescent="0.25">
      <c r="A143" s="2" t="s">
        <v>115</v>
      </c>
      <c r="B143" s="2" t="s">
        <v>6753</v>
      </c>
      <c r="C143" s="2" t="s">
        <v>6754</v>
      </c>
      <c r="D143" s="2" t="s">
        <v>6755</v>
      </c>
      <c r="E143" s="3">
        <v>42656</v>
      </c>
      <c r="F143" s="2" t="s">
        <v>6756</v>
      </c>
      <c r="G143" s="2" t="s">
        <v>6757</v>
      </c>
      <c r="H143" s="2" t="s">
        <v>2425</v>
      </c>
      <c r="I143" s="2" t="s">
        <v>2453</v>
      </c>
      <c r="J143" s="3">
        <v>42716</v>
      </c>
      <c r="K143" s="2" t="str">
        <f>HYPERLINK("https://docs.wto.org/imrd/directdoc.asp?DDFDocuments/t/G/SPS/NJPN481.DOC")</f>
        <v>https://docs.wto.org/imrd/directdoc.asp?DDFDocuments/t/G/SPS/NJPN481.DOC</v>
      </c>
      <c r="L143" s="2" t="str">
        <f>HYPERLINK("https://docs.wto.org/imrd/directdoc.asp?DDFDocuments/u/G/SPS/NJPN481.DOC")</f>
        <v>https://docs.wto.org/imrd/directdoc.asp?DDFDocuments/u/G/SPS/NJPN481.DOC</v>
      </c>
      <c r="M143" s="2" t="str">
        <f>HYPERLINK("https://docs.wto.org/imrd/directdoc.asp?DDFDocuments/v/G/SPS/NJPN481.DOC")</f>
        <v>https://docs.wto.org/imrd/directdoc.asp?DDFDocuments/v/G/SPS/NJPN481.DOC</v>
      </c>
      <c r="N143" s="2" t="str">
        <f>HYPERLINK("http://www.epingalert.org/#/details/G/SPS/N/JPN/481")</f>
        <v>http://www.epingalert.org/#/details/G/SPS/N/JPN/481</v>
      </c>
      <c r="O143" s="2"/>
    </row>
    <row r="144" spans="1:15" ht="240" customHeight="1" x14ac:dyDescent="0.25">
      <c r="A144" s="2" t="s">
        <v>115</v>
      </c>
      <c r="B144" s="2" t="s">
        <v>6758</v>
      </c>
      <c r="C144" s="2" t="s">
        <v>6754</v>
      </c>
      <c r="D144" s="2" t="s">
        <v>6759</v>
      </c>
      <c r="E144" s="3">
        <v>42656</v>
      </c>
      <c r="F144" s="2" t="s">
        <v>6760</v>
      </c>
      <c r="G144" s="2" t="s">
        <v>6761</v>
      </c>
      <c r="H144" s="2" t="s">
        <v>2425</v>
      </c>
      <c r="I144" s="2" t="s">
        <v>2453</v>
      </c>
      <c r="J144" s="3">
        <v>42716</v>
      </c>
      <c r="K144" s="2" t="str">
        <f>HYPERLINK("https://docs.wto.org/imrd/directdoc.asp?DDFDocuments/t/G/SPS/NJPN479.DOC")</f>
        <v>https://docs.wto.org/imrd/directdoc.asp?DDFDocuments/t/G/SPS/NJPN479.DOC</v>
      </c>
      <c r="L144" s="2" t="str">
        <f>HYPERLINK("https://docs.wto.org/imrd/directdoc.asp?DDFDocuments/u/G/SPS/NJPN479.DOC")</f>
        <v>https://docs.wto.org/imrd/directdoc.asp?DDFDocuments/u/G/SPS/NJPN479.DOC</v>
      </c>
      <c r="M144" s="2" t="str">
        <f>HYPERLINK("https://docs.wto.org/imrd/directdoc.asp?DDFDocuments/v/G/SPS/NJPN479.DOC")</f>
        <v>https://docs.wto.org/imrd/directdoc.asp?DDFDocuments/v/G/SPS/NJPN479.DOC</v>
      </c>
      <c r="N144" s="2" t="str">
        <f>HYPERLINK("http://www.epingalert.org/#/details/G/SPS/N/JPN/479")</f>
        <v>http://www.epingalert.org/#/details/G/SPS/N/JPN/479</v>
      </c>
      <c r="O144" s="2"/>
    </row>
    <row r="145" spans="1:15" ht="240" customHeight="1" x14ac:dyDescent="0.25">
      <c r="A145" s="2" t="s">
        <v>115</v>
      </c>
      <c r="B145" s="2" t="s">
        <v>6762</v>
      </c>
      <c r="C145" s="2" t="s">
        <v>6754</v>
      </c>
      <c r="D145" s="2" t="s">
        <v>6763</v>
      </c>
      <c r="E145" s="3">
        <v>42656</v>
      </c>
      <c r="F145" s="2" t="s">
        <v>6764</v>
      </c>
      <c r="G145" s="2" t="s">
        <v>6765</v>
      </c>
      <c r="H145" s="2" t="s">
        <v>2425</v>
      </c>
      <c r="I145" s="2" t="s">
        <v>2453</v>
      </c>
      <c r="J145" s="3">
        <v>42716</v>
      </c>
      <c r="K145" s="2" t="str">
        <f>HYPERLINK("https://docs.wto.org/imrd/directdoc.asp?DDFDocuments/t/G/SPS/NJPN480.DOC")</f>
        <v>https://docs.wto.org/imrd/directdoc.asp?DDFDocuments/t/G/SPS/NJPN480.DOC</v>
      </c>
      <c r="L145" s="2" t="str">
        <f>HYPERLINK("https://docs.wto.org/imrd/directdoc.asp?DDFDocuments/u/G/SPS/NJPN480.DOC")</f>
        <v>https://docs.wto.org/imrd/directdoc.asp?DDFDocuments/u/G/SPS/NJPN480.DOC</v>
      </c>
      <c r="M145" s="2" t="str">
        <f>HYPERLINK("https://docs.wto.org/imrd/directdoc.asp?DDFDocuments/v/G/SPS/NJPN480.DOC")</f>
        <v>https://docs.wto.org/imrd/directdoc.asp?DDFDocuments/v/G/SPS/NJPN480.DOC</v>
      </c>
      <c r="N145" s="2" t="str">
        <f>HYPERLINK("http://www.epingalert.org/#/details/G/SPS/N/JPN/480")</f>
        <v>http://www.epingalert.org/#/details/G/SPS/N/JPN/480</v>
      </c>
      <c r="O145" s="2"/>
    </row>
    <row r="146" spans="1:15" ht="240" customHeight="1" x14ac:dyDescent="0.25">
      <c r="A146" s="2" t="s">
        <v>115</v>
      </c>
      <c r="B146" s="2" t="s">
        <v>6766</v>
      </c>
      <c r="C146" s="2" t="s">
        <v>6754</v>
      </c>
      <c r="D146" s="2" t="s">
        <v>6767</v>
      </c>
      <c r="E146" s="3">
        <v>42656</v>
      </c>
      <c r="F146" s="2" t="s">
        <v>6768</v>
      </c>
      <c r="G146" s="2" t="s">
        <v>6769</v>
      </c>
      <c r="H146" s="2" t="s">
        <v>2425</v>
      </c>
      <c r="I146" s="2" t="s">
        <v>2453</v>
      </c>
      <c r="J146" s="3">
        <v>42716</v>
      </c>
      <c r="K146" s="2" t="str">
        <f>HYPERLINK("https://docs.wto.org/imrd/directdoc.asp?DDFDocuments/t/G/SPS/NJPN477.DOC")</f>
        <v>https://docs.wto.org/imrd/directdoc.asp?DDFDocuments/t/G/SPS/NJPN477.DOC</v>
      </c>
      <c r="L146" s="2" t="str">
        <f>HYPERLINK("https://docs.wto.org/imrd/directdoc.asp?DDFDocuments/u/G/SPS/NJPN477.DOC")</f>
        <v>https://docs.wto.org/imrd/directdoc.asp?DDFDocuments/u/G/SPS/NJPN477.DOC</v>
      </c>
      <c r="M146" s="2" t="str">
        <f>HYPERLINK("https://docs.wto.org/imrd/directdoc.asp?DDFDocuments/v/G/SPS/NJPN477.DOC")</f>
        <v>https://docs.wto.org/imrd/directdoc.asp?DDFDocuments/v/G/SPS/NJPN477.DOC</v>
      </c>
      <c r="N146" s="2" t="str">
        <f>HYPERLINK("http://www.epingalert.org/#/details/G/SPS/N/JPN/477")</f>
        <v>http://www.epingalert.org/#/details/G/SPS/N/JPN/477</v>
      </c>
      <c r="O146" s="2"/>
    </row>
    <row r="147" spans="1:15" ht="240" customHeight="1" x14ac:dyDescent="0.25">
      <c r="A147" s="2" t="s">
        <v>115</v>
      </c>
      <c r="B147" s="2" t="s">
        <v>6770</v>
      </c>
      <c r="C147" s="2" t="s">
        <v>6754</v>
      </c>
      <c r="D147" s="2" t="s">
        <v>6771</v>
      </c>
      <c r="E147" s="3">
        <v>42656</v>
      </c>
      <c r="F147" s="2" t="s">
        <v>6768</v>
      </c>
      <c r="G147" s="2" t="s">
        <v>6772</v>
      </c>
      <c r="H147" s="2" t="s">
        <v>2425</v>
      </c>
      <c r="I147" s="2" t="s">
        <v>2453</v>
      </c>
      <c r="J147" s="3">
        <v>42716</v>
      </c>
      <c r="K147" s="2" t="str">
        <f>HYPERLINK("https://docs.wto.org/imrd/directdoc.asp?DDFDocuments/t/G/SPS/NJPN482.DOC")</f>
        <v>https://docs.wto.org/imrd/directdoc.asp?DDFDocuments/t/G/SPS/NJPN482.DOC</v>
      </c>
      <c r="L147" s="2" t="str">
        <f>HYPERLINK("https://docs.wto.org/imrd/directdoc.asp?DDFDocuments/u/G/SPS/NJPN482.DOC")</f>
        <v>https://docs.wto.org/imrd/directdoc.asp?DDFDocuments/u/G/SPS/NJPN482.DOC</v>
      </c>
      <c r="M147" s="2" t="str">
        <f>HYPERLINK("https://docs.wto.org/imrd/directdoc.asp?DDFDocuments/v/G/SPS/NJPN482.DOC")</f>
        <v>https://docs.wto.org/imrd/directdoc.asp?DDFDocuments/v/G/SPS/NJPN482.DOC</v>
      </c>
      <c r="N147" s="2" t="str">
        <f>HYPERLINK("http://www.epingalert.org/#/details/G/SPS/N/JPN/482")</f>
        <v>http://www.epingalert.org/#/details/G/SPS/N/JPN/482</v>
      </c>
      <c r="O147" s="2"/>
    </row>
    <row r="148" spans="1:15" ht="240" customHeight="1" x14ac:dyDescent="0.25">
      <c r="A148" s="2" t="s">
        <v>115</v>
      </c>
      <c r="B148" s="2" t="s">
        <v>6773</v>
      </c>
      <c r="C148" s="2" t="s">
        <v>6754</v>
      </c>
      <c r="D148" s="2" t="s">
        <v>6774</v>
      </c>
      <c r="E148" s="3">
        <v>42656</v>
      </c>
      <c r="F148" s="2" t="s">
        <v>6775</v>
      </c>
      <c r="G148" s="2" t="s">
        <v>6776</v>
      </c>
      <c r="H148" s="2" t="s">
        <v>2425</v>
      </c>
      <c r="I148" s="2" t="s">
        <v>2499</v>
      </c>
      <c r="J148" s="3">
        <v>42716</v>
      </c>
      <c r="K148" s="2" t="str">
        <f>HYPERLINK("https://docs.wto.org/imrd/directdoc.asp?DDFDocuments/t/G/SPS/NJPN478.DOC")</f>
        <v>https://docs.wto.org/imrd/directdoc.asp?DDFDocuments/t/G/SPS/NJPN478.DOC</v>
      </c>
      <c r="L148" s="2" t="str">
        <f>HYPERLINK("https://docs.wto.org/imrd/directdoc.asp?DDFDocuments/u/G/SPS/NJPN478.DOC")</f>
        <v>https://docs.wto.org/imrd/directdoc.asp?DDFDocuments/u/G/SPS/NJPN478.DOC</v>
      </c>
      <c r="M148" s="2" t="str">
        <f>HYPERLINK("https://docs.wto.org/imrd/directdoc.asp?DDFDocuments/v/G/SPS/NJPN478.DOC")</f>
        <v>https://docs.wto.org/imrd/directdoc.asp?DDFDocuments/v/G/SPS/NJPN478.DOC</v>
      </c>
      <c r="N148" s="2" t="str">
        <f>HYPERLINK("http://www.epingalert.org/#/details/G/SPS/N/JPN/478")</f>
        <v>http://www.epingalert.org/#/details/G/SPS/N/JPN/478</v>
      </c>
      <c r="O148" s="2"/>
    </row>
    <row r="149" spans="1:15" ht="240" customHeight="1" x14ac:dyDescent="0.25">
      <c r="A149" s="2" t="s">
        <v>2544</v>
      </c>
      <c r="B149" s="2" t="s">
        <v>2545</v>
      </c>
      <c r="C149" s="2" t="s">
        <v>2546</v>
      </c>
      <c r="D149" s="2" t="s">
        <v>2547</v>
      </c>
      <c r="E149" s="3">
        <v>42655</v>
      </c>
      <c r="F149" s="2" t="s">
        <v>46</v>
      </c>
      <c r="G149" s="2"/>
      <c r="H149" s="2" t="s">
        <v>2425</v>
      </c>
      <c r="I149" s="2" t="s">
        <v>2548</v>
      </c>
      <c r="J149" s="3">
        <v>42715</v>
      </c>
      <c r="K149" s="2" t="str">
        <f>HYPERLINK("https://docs.wto.org/imrd/directdoc.asp?DDFDocuments/t/G/SPS/NCHL530.DOC")</f>
        <v>https://docs.wto.org/imrd/directdoc.asp?DDFDocuments/t/G/SPS/NCHL530.DOC</v>
      </c>
      <c r="L149" s="2" t="str">
        <f>HYPERLINK("https://docs.wto.org/imrd/directdoc.asp?DDFDocuments/u/G/SPS/NCHL530.DOC")</f>
        <v>https://docs.wto.org/imrd/directdoc.asp?DDFDocuments/u/G/SPS/NCHL530.DOC</v>
      </c>
      <c r="M149" s="2" t="str">
        <f>HYPERLINK("https://docs.wto.org/imrd/directdoc.asp?DDFDocuments/v/G/SPS/NCHL530.DOC")</f>
        <v>https://docs.wto.org/imrd/directdoc.asp?DDFDocuments/v/G/SPS/NCHL530.DOC</v>
      </c>
      <c r="N149" s="2" t="str">
        <f>HYPERLINK("http://www.epingalert.org/#/details/G/SPS/N/CHL/530")</f>
        <v>http://www.epingalert.org/#/details/G/SPS/N/CHL/530</v>
      </c>
      <c r="O149" s="2"/>
    </row>
    <row r="150" spans="1:15" ht="240" customHeight="1" x14ac:dyDescent="0.25">
      <c r="A150" s="2" t="s">
        <v>225</v>
      </c>
      <c r="B150" s="2" t="s">
        <v>2549</v>
      </c>
      <c r="C150" s="2" t="s">
        <v>2550</v>
      </c>
      <c r="D150" s="2" t="s">
        <v>2494</v>
      </c>
      <c r="E150" s="3">
        <v>42654</v>
      </c>
      <c r="F150" s="2" t="s">
        <v>2551</v>
      </c>
      <c r="G150" s="2"/>
      <c r="H150" s="2" t="s">
        <v>2425</v>
      </c>
      <c r="I150" s="2" t="s">
        <v>2431</v>
      </c>
      <c r="J150" s="3">
        <v>42724</v>
      </c>
      <c r="K150" s="2" t="str">
        <f>HYPERLINK("https://docs.wto.org/imrd/directdoc.asp?DDFDocuments/t/G/SPS/NAUS401.DOC")</f>
        <v>https://docs.wto.org/imrd/directdoc.asp?DDFDocuments/t/G/SPS/NAUS401.DOC</v>
      </c>
      <c r="L150" s="2" t="str">
        <f>HYPERLINK("https://docs.wto.org/imrd/directdoc.asp?DDFDocuments/u/G/SPS/NAUS401.DOC")</f>
        <v>https://docs.wto.org/imrd/directdoc.asp?DDFDocuments/u/G/SPS/NAUS401.DOC</v>
      </c>
      <c r="M150" s="2" t="str">
        <f>HYPERLINK("https://docs.wto.org/imrd/directdoc.asp?DDFDocuments/v/G/SPS/NAUS401.DOC")</f>
        <v>https://docs.wto.org/imrd/directdoc.asp?DDFDocuments/v/G/SPS/NAUS401.DOC</v>
      </c>
      <c r="N150" s="2" t="str">
        <f>HYPERLINK("http://www.epingalert.org/#/details/G/SPS/N/AUS/401")</f>
        <v>http://www.epingalert.org/#/details/G/SPS/N/AUS/401</v>
      </c>
      <c r="O150" s="2"/>
    </row>
    <row r="151" spans="1:15" ht="240" customHeight="1" x14ac:dyDescent="0.25">
      <c r="A151" s="2" t="s">
        <v>121</v>
      </c>
      <c r="B151" s="2" t="s">
        <v>2552</v>
      </c>
      <c r="C151" s="2" t="s">
        <v>2553</v>
      </c>
      <c r="D151" s="2" t="s">
        <v>2554</v>
      </c>
      <c r="E151" s="3">
        <v>42653</v>
      </c>
      <c r="F151" s="2" t="s">
        <v>2555</v>
      </c>
      <c r="G151" s="2"/>
      <c r="H151" s="2" t="s">
        <v>2425</v>
      </c>
      <c r="I151" s="2" t="s">
        <v>2461</v>
      </c>
      <c r="J151" s="3">
        <v>42713</v>
      </c>
      <c r="K151" s="2" t="str">
        <f>HYPERLINK("https://docs.wto.org/imrd/directdoc.asp?DDFDocuments/t/G/SPS/NIND161.DOC")</f>
        <v>https://docs.wto.org/imrd/directdoc.asp?DDFDocuments/t/G/SPS/NIND161.DOC</v>
      </c>
      <c r="L151" s="2" t="str">
        <f>HYPERLINK("https://docs.wto.org/imrd/directdoc.asp?DDFDocuments/u/G/SPS/NIND161.DOC")</f>
        <v>https://docs.wto.org/imrd/directdoc.asp?DDFDocuments/u/G/SPS/NIND161.DOC</v>
      </c>
      <c r="M151" s="2" t="str">
        <f>HYPERLINK("https://docs.wto.org/imrd/directdoc.asp?DDFDocuments/v/G/SPS/NIND161.DOC")</f>
        <v>https://docs.wto.org/imrd/directdoc.asp?DDFDocuments/v/G/SPS/NIND161.DOC</v>
      </c>
      <c r="N151" s="2" t="str">
        <f>HYPERLINK("http://www.epingalert.org/#/details/G/SPS/N/IND/161")</f>
        <v>http://www.epingalert.org/#/details/G/SPS/N/IND/161</v>
      </c>
      <c r="O151" s="2"/>
    </row>
    <row r="152" spans="1:15" ht="240" customHeight="1" x14ac:dyDescent="0.25">
      <c r="A152" s="2" t="s">
        <v>2930</v>
      </c>
      <c r="B152" s="2" t="s">
        <v>6777</v>
      </c>
      <c r="C152" s="2"/>
      <c r="D152" s="2"/>
      <c r="E152" s="3">
        <v>42653</v>
      </c>
      <c r="F152" s="2" t="s">
        <v>6778</v>
      </c>
      <c r="G152" s="2" t="s">
        <v>6779</v>
      </c>
      <c r="H152" s="2" t="s">
        <v>2425</v>
      </c>
      <c r="I152" s="2" t="s">
        <v>2672</v>
      </c>
      <c r="J152" s="3">
        <v>42694</v>
      </c>
      <c r="K152" s="2" t="str">
        <f>HYPERLINK("https://docs.wto.org/imrd/directdoc.asp?DDFDocuments/t/G/SPS/NLKA10A3.DOC")</f>
        <v>https://docs.wto.org/imrd/directdoc.asp?DDFDocuments/t/G/SPS/NLKA10A3.DOC</v>
      </c>
      <c r="L152" s="2" t="str">
        <f>HYPERLINK("https://docs.wto.org/imrd/directdoc.asp?DDFDocuments/u/G/SPS/NLKA10A3.DOC")</f>
        <v>https://docs.wto.org/imrd/directdoc.asp?DDFDocuments/u/G/SPS/NLKA10A3.DOC</v>
      </c>
      <c r="M152" s="2" t="str">
        <f>HYPERLINK("https://docs.wto.org/imrd/directdoc.asp?DDFDocuments/v/G/SPS/NLKA10A3.DOC")</f>
        <v>https://docs.wto.org/imrd/directdoc.asp?DDFDocuments/v/G/SPS/NLKA10A3.DOC</v>
      </c>
      <c r="N152" s="2" t="str">
        <f>HYPERLINK("http://www.epingalert.org/#/details/G/SPS/N/LKA/10/Add.3")</f>
        <v>http://www.epingalert.org/#/details/G/SPS/N/LKA/10/Add.3</v>
      </c>
      <c r="O152" s="2"/>
    </row>
    <row r="153" spans="1:15" ht="240" customHeight="1" outlineLevel="1" x14ac:dyDescent="0.25">
      <c r="A153" s="2" t="s">
        <v>37</v>
      </c>
      <c r="B153" s="2" t="s">
        <v>2559</v>
      </c>
      <c r="C153" s="2" t="s">
        <v>2560</v>
      </c>
      <c r="D153" s="2" t="s">
        <v>2561</v>
      </c>
      <c r="E153" s="3">
        <v>42650</v>
      </c>
      <c r="F153" s="2" t="s">
        <v>97</v>
      </c>
      <c r="G153" s="2"/>
      <c r="H153" s="2" t="s">
        <v>2425</v>
      </c>
      <c r="I153" s="2" t="s">
        <v>2426</v>
      </c>
      <c r="J153" s="13">
        <v>42710</v>
      </c>
      <c r="K153" s="2" t="str">
        <f>HYPERLINK("https://docs.wto.org/imrd/directdoc.asp?DDFDocuments/t/G/SPS/NTUR76.DOC")</f>
        <v>https://docs.wto.org/imrd/directdoc.asp?DDFDocuments/t/G/SPS/NTUR76.DOC</v>
      </c>
      <c r="L153" s="2" t="str">
        <f>HYPERLINK("https://docs.wto.org/imrd/directdoc.asp?DDFDocuments/u/G/SPS/NTUR76.DOC")</f>
        <v>https://docs.wto.org/imrd/directdoc.asp?DDFDocuments/u/G/SPS/NTUR76.DOC</v>
      </c>
      <c r="M153" s="2" t="str">
        <f>HYPERLINK("https://docs.wto.org/imrd/directdoc.asp?DDFDocuments/v/G/SPS/NTUR76.DOC")</f>
        <v>https://docs.wto.org/imrd/directdoc.asp?DDFDocuments/v/G/SPS/NTUR76.DOC</v>
      </c>
      <c r="N153" s="2" t="str">
        <f>HYPERLINK("http://www.epingalert.org/#/details/G/SPS/N/TUR/76")</f>
        <v>http://www.epingalert.org/#/details/G/SPS/N/TUR/76</v>
      </c>
      <c r="O153" s="2"/>
    </row>
    <row r="154" spans="1:15" ht="240" customHeight="1" outlineLevel="1" x14ac:dyDescent="0.25">
      <c r="A154" s="2" t="s">
        <v>31</v>
      </c>
      <c r="B154" s="2" t="s">
        <v>2556</v>
      </c>
      <c r="C154" s="2"/>
      <c r="D154" s="2"/>
      <c r="E154" s="3">
        <v>42650</v>
      </c>
      <c r="F154" s="2" t="s">
        <v>2557</v>
      </c>
      <c r="G154" s="2"/>
      <c r="H154" s="2" t="s">
        <v>2425</v>
      </c>
      <c r="I154" s="2" t="s">
        <v>2558</v>
      </c>
      <c r="J154" s="2"/>
      <c r="K154" s="2" t="str">
        <f>HYPERLINK("https://docs.wto.org/imrd/directdoc.asp?DDFDocuments/t/G/SPS/NTHA235A1.DOC")</f>
        <v>https://docs.wto.org/imrd/directdoc.asp?DDFDocuments/t/G/SPS/NTHA235A1.DOC</v>
      </c>
      <c r="L154" s="2" t="str">
        <f>HYPERLINK("https://docs.wto.org/imrd/directdoc.asp?DDFDocuments/u/G/SPS/NTHA235A1.DOC")</f>
        <v>https://docs.wto.org/imrd/directdoc.asp?DDFDocuments/u/G/SPS/NTHA235A1.DOC</v>
      </c>
      <c r="M154" s="2" t="str">
        <f>HYPERLINK("https://docs.wto.org/imrd/directdoc.asp?DDFDocuments/v/G/SPS/NTHA235A1.DOC")</f>
        <v>https://docs.wto.org/imrd/directdoc.asp?DDFDocuments/v/G/SPS/NTHA235A1.DOC</v>
      </c>
      <c r="N154" s="2" t="str">
        <f>HYPERLINK("http://www.epingalert.org/#/details/G/SPS/N/THA/235/Add.1")</f>
        <v>http://www.epingalert.org/#/details/G/SPS/N/THA/235/Add.1</v>
      </c>
      <c r="O154" s="2"/>
    </row>
    <row r="155" spans="1:15" ht="240" customHeight="1" outlineLevel="1" x14ac:dyDescent="0.25">
      <c r="A155" s="2" t="s">
        <v>6784</v>
      </c>
      <c r="B155" s="2" t="s">
        <v>6780</v>
      </c>
      <c r="C155" s="2"/>
      <c r="D155" s="2"/>
      <c r="E155" s="3">
        <v>42648</v>
      </c>
      <c r="F155" s="2"/>
      <c r="G155" s="2" t="s">
        <v>6781</v>
      </c>
      <c r="H155" s="2"/>
      <c r="I155" s="2" t="s">
        <v>6782</v>
      </c>
      <c r="J155" s="2"/>
      <c r="K155" s="2" t="str">
        <f>HYPERLINK("https://docs.wto.org/imrd/directdoc.asp?DDFDocuments/t/G/SPS/NSAU213.DOC")</f>
        <v>https://docs.wto.org/imrd/directdoc.asp?DDFDocuments/t/G/SPS/NSAU213.DOC</v>
      </c>
      <c r="L155" s="2" t="str">
        <f>HYPERLINK("null")</f>
        <v>null</v>
      </c>
      <c r="M155" s="2" t="str">
        <f>HYPERLINK("https://docs.wto.org/imrd/directdoc.asp?DDFDocuments/v/G/SPS/NSAU213.DOC")</f>
        <v>https://docs.wto.org/imrd/directdoc.asp?DDFDocuments/v/G/SPS/NSAU213.DOC</v>
      </c>
      <c r="N155" s="2" t="str">
        <f>HYPERLINK("http://www.epingalert.org/#/details/G/SPS/N/SAU/213")</f>
        <v>http://www.epingalert.org/#/details/G/SPS/N/SAU/213</v>
      </c>
      <c r="O155" s="2"/>
    </row>
    <row r="156" spans="1:15" ht="240" customHeight="1" outlineLevel="1" x14ac:dyDescent="0.25">
      <c r="A156" s="2" t="s">
        <v>77</v>
      </c>
      <c r="B156" s="2" t="s">
        <v>6576</v>
      </c>
      <c r="C156" s="2"/>
      <c r="D156" s="2"/>
      <c r="E156" s="3">
        <v>42646</v>
      </c>
      <c r="F156" s="2" t="s">
        <v>6577</v>
      </c>
      <c r="G156" s="2" t="s">
        <v>6578</v>
      </c>
      <c r="H156" s="2" t="s">
        <v>2425</v>
      </c>
      <c r="I156" s="2" t="s">
        <v>2672</v>
      </c>
      <c r="J156" s="3">
        <v>42667</v>
      </c>
      <c r="K156" s="2" t="str">
        <f>HYPERLINK("https://docs.wto.org/imrd/directdoc.asp?DDFDocuments/t/G/SPS/NTPKM406A1.DOC")</f>
        <v>https://docs.wto.org/imrd/directdoc.asp?DDFDocuments/t/G/SPS/NTPKM406A1.DOC</v>
      </c>
      <c r="L156" s="2" t="str">
        <f>HYPERLINK("https://docs.wto.org/imrd/directdoc.asp?DDFDocuments/u/G/SPS/NTPKM406A1.DOC")</f>
        <v>https://docs.wto.org/imrd/directdoc.asp?DDFDocuments/u/G/SPS/NTPKM406A1.DOC</v>
      </c>
      <c r="M156" s="2" t="str">
        <f>HYPERLINK("https://docs.wto.org/imrd/directdoc.asp?DDFDocuments/v/G/SPS/NTPKM406A1.DOC")</f>
        <v>https://docs.wto.org/imrd/directdoc.asp?DDFDocuments/v/G/SPS/NTPKM406A1.DOC</v>
      </c>
      <c r="N156" s="2" t="str">
        <f>HYPERLINK("http://www.epingalert.org/#/details/G/SPS/N/TPKM/406/Add.1")</f>
        <v>http://www.epingalert.org/#/details/G/SPS/N/TPKM/406/Add.1</v>
      </c>
      <c r="O156" s="2"/>
    </row>
    <row r="157" spans="1:15" ht="240" customHeight="1" outlineLevel="1" x14ac:dyDescent="0.25">
      <c r="A157" s="2" t="s">
        <v>98</v>
      </c>
      <c r="B157" s="2" t="s">
        <v>2562</v>
      </c>
      <c r="C157" s="2" t="s">
        <v>2563</v>
      </c>
      <c r="D157" s="2" t="s">
        <v>2564</v>
      </c>
      <c r="E157" s="3">
        <v>42642</v>
      </c>
      <c r="F157" s="2" t="s">
        <v>2565</v>
      </c>
      <c r="G157" s="2"/>
      <c r="H157" s="2" t="s">
        <v>2425</v>
      </c>
      <c r="I157" s="2" t="s">
        <v>2566</v>
      </c>
      <c r="J157" s="3">
        <v>42704</v>
      </c>
      <c r="K157" s="2" t="str">
        <f>HYPERLINK("https://docs.wto.org/imrd/directdoc.asp?DDFDocuments/t/G/SPS/NZAF48.DOC")</f>
        <v>https://docs.wto.org/imrd/directdoc.asp?DDFDocuments/t/G/SPS/NZAF48.DOC</v>
      </c>
      <c r="L157" s="2" t="str">
        <f>HYPERLINK("https://docs.wto.org/imrd/directdoc.asp?DDFDocuments/u/G/SPS/NZAF48.DOC")</f>
        <v>https://docs.wto.org/imrd/directdoc.asp?DDFDocuments/u/G/SPS/NZAF48.DOC</v>
      </c>
      <c r="M157" s="2" t="str">
        <f>HYPERLINK("https://docs.wto.org/imrd/directdoc.asp?DDFDocuments/v/G/SPS/NZAF48.DOC")</f>
        <v>https://docs.wto.org/imrd/directdoc.asp?DDFDocuments/v/G/SPS/NZAF48.DOC</v>
      </c>
      <c r="N157" s="2" t="str">
        <f>HYPERLINK("http://www.epingalert.org/#/details/G/SPS/N/ZAF/48")</f>
        <v>http://www.epingalert.org/#/details/G/SPS/N/ZAF/48</v>
      </c>
      <c r="O157" s="2"/>
    </row>
    <row r="158" spans="1:15" ht="240" customHeight="1" outlineLevel="1" x14ac:dyDescent="0.25">
      <c r="A158" s="2" t="s">
        <v>18</v>
      </c>
      <c r="B158" s="2" t="s">
        <v>2567</v>
      </c>
      <c r="C158" s="2"/>
      <c r="D158" s="2"/>
      <c r="E158" s="3">
        <v>42640</v>
      </c>
      <c r="F158" s="2" t="s">
        <v>2568</v>
      </c>
      <c r="G158" s="2"/>
      <c r="H158" s="2" t="s">
        <v>2425</v>
      </c>
      <c r="I158" s="2" t="s">
        <v>2444</v>
      </c>
      <c r="J158" s="2"/>
      <c r="K158" s="2" t="str">
        <f>HYPERLINK("https://docs.wto.org/imrd/directdoc.asp?DDFDocuments/t/G/SPS/NUSA2502A8.DOC")</f>
        <v>https://docs.wto.org/imrd/directdoc.asp?DDFDocuments/t/G/SPS/NUSA2502A8.DOC</v>
      </c>
      <c r="L158" s="2" t="str">
        <f>HYPERLINK("https://docs.wto.org/imrd/directdoc.asp?DDFDocuments/u/G/SPS/NUSA2502A8.DOC")</f>
        <v>https://docs.wto.org/imrd/directdoc.asp?DDFDocuments/u/G/SPS/NUSA2502A8.DOC</v>
      </c>
      <c r="M158" s="2" t="str">
        <f>HYPERLINK("https://docs.wto.org/imrd/directdoc.asp?DDFDocuments/v/G/SPS/NUSA2502A8.DOC")</f>
        <v>https://docs.wto.org/imrd/directdoc.asp?DDFDocuments/v/G/SPS/NUSA2502A8.DOC</v>
      </c>
      <c r="N158" s="2" t="str">
        <f>HYPERLINK("http://www.epingalert.org/#/details/G/SPS/N/USA/2502/Add.8")</f>
        <v>http://www.epingalert.org/#/details/G/SPS/N/USA/2502/Add.8</v>
      </c>
      <c r="O158" s="2"/>
    </row>
    <row r="159" spans="1:15" ht="240" customHeight="1" outlineLevel="1" x14ac:dyDescent="0.25">
      <c r="A159" s="2" t="s">
        <v>98</v>
      </c>
      <c r="B159" s="2" t="s">
        <v>6785</v>
      </c>
      <c r="C159" s="2" t="s">
        <v>6786</v>
      </c>
      <c r="D159" s="2" t="s">
        <v>6787</v>
      </c>
      <c r="E159" s="3">
        <v>42635</v>
      </c>
      <c r="F159" s="2" t="s">
        <v>6788</v>
      </c>
      <c r="G159" s="2" t="s">
        <v>6789</v>
      </c>
      <c r="H159" s="2" t="s">
        <v>2425</v>
      </c>
      <c r="I159" s="2" t="s">
        <v>3155</v>
      </c>
      <c r="J159" s="3">
        <v>42695</v>
      </c>
      <c r="K159" s="2" t="str">
        <f>HYPERLINK("https://docs.wto.org/imrd/directdoc.asp?DDFDocuments/t/G/SPS/NZAF46.DOC")</f>
        <v>https://docs.wto.org/imrd/directdoc.asp?DDFDocuments/t/G/SPS/NZAF46.DOC</v>
      </c>
      <c r="L159" s="2" t="str">
        <f>HYPERLINK("https://docs.wto.org/imrd/directdoc.asp?DDFDocuments/u/G/SPS/NZAF46.DOC")</f>
        <v>https://docs.wto.org/imrd/directdoc.asp?DDFDocuments/u/G/SPS/NZAF46.DOC</v>
      </c>
      <c r="M159" s="2" t="str">
        <f>HYPERLINK("https://docs.wto.org/imrd/directdoc.asp?DDFDocuments/v/G/SPS/NZAF46.DOC")</f>
        <v>https://docs.wto.org/imrd/directdoc.asp?DDFDocuments/v/G/SPS/NZAF46.DOC</v>
      </c>
      <c r="N159" s="2" t="str">
        <f>HYPERLINK("http://www.epingalert.org/#/details/G/SPS/N/ZAF/46")</f>
        <v>http://www.epingalert.org/#/details/G/SPS/N/ZAF/46</v>
      </c>
      <c r="O159" s="2"/>
    </row>
    <row r="160" spans="1:15" ht="240" customHeight="1" outlineLevel="1" x14ac:dyDescent="0.25">
      <c r="A160" s="2" t="s">
        <v>77</v>
      </c>
      <c r="B160" s="2" t="s">
        <v>6800</v>
      </c>
      <c r="C160" s="2" t="s">
        <v>6801</v>
      </c>
      <c r="D160" s="2" t="s">
        <v>6802</v>
      </c>
      <c r="E160" s="3">
        <v>42635</v>
      </c>
      <c r="F160" s="2" t="s">
        <v>6803</v>
      </c>
      <c r="G160" s="2" t="s">
        <v>6804</v>
      </c>
      <c r="H160" s="2" t="s">
        <v>3583</v>
      </c>
      <c r="I160" s="2" t="s">
        <v>6805</v>
      </c>
      <c r="J160" s="3">
        <v>42695</v>
      </c>
      <c r="K160" s="2" t="str">
        <f>HYPERLINK("https://docs.wto.org/imrd/directdoc.asp?DDFDocuments/t/G/SPS/NTPKM411.DOC")</f>
        <v>https://docs.wto.org/imrd/directdoc.asp?DDFDocuments/t/G/SPS/NTPKM411.DOC</v>
      </c>
      <c r="L160" s="2" t="str">
        <f>HYPERLINK("https://docs.wto.org/imrd/directdoc.asp?DDFDocuments/u/G/SPS/NTPKM411.DOC")</f>
        <v>https://docs.wto.org/imrd/directdoc.asp?DDFDocuments/u/G/SPS/NTPKM411.DOC</v>
      </c>
      <c r="M160" s="2" t="str">
        <f>HYPERLINK("https://docs.wto.org/imrd/directdoc.asp?DDFDocuments/v/G/SPS/NTPKM411.DOC")</f>
        <v>https://docs.wto.org/imrd/directdoc.asp?DDFDocuments/v/G/SPS/NTPKM411.DOC</v>
      </c>
      <c r="N160" s="2" t="str">
        <f>HYPERLINK("http://www.epingalert.org/#/details/G/SPS/N/TPKM/411")</f>
        <v>http://www.epingalert.org/#/details/G/SPS/N/TPKM/411</v>
      </c>
      <c r="O160" s="2"/>
    </row>
    <row r="161" spans="1:15" ht="240" customHeight="1" outlineLevel="1" x14ac:dyDescent="0.25">
      <c r="A161" s="2" t="s">
        <v>98</v>
      </c>
      <c r="B161" s="2" t="s">
        <v>6790</v>
      </c>
      <c r="C161" s="2" t="s">
        <v>6791</v>
      </c>
      <c r="D161" s="2" t="s">
        <v>6792</v>
      </c>
      <c r="E161" s="3">
        <v>42635</v>
      </c>
      <c r="F161" s="2" t="s">
        <v>6793</v>
      </c>
      <c r="G161" s="2" t="s">
        <v>6794</v>
      </c>
      <c r="H161" s="2" t="s">
        <v>2425</v>
      </c>
      <c r="I161" s="2" t="s">
        <v>2771</v>
      </c>
      <c r="J161" s="2"/>
      <c r="K161" s="2" t="str">
        <f>HYPERLINK("https://docs.wto.org/imrd/directdoc.asp?DDFDocuments/t/G/SPS/NZAF47.DOC")</f>
        <v>https://docs.wto.org/imrd/directdoc.asp?DDFDocuments/t/G/SPS/NZAF47.DOC</v>
      </c>
      <c r="L161" s="2" t="str">
        <f>HYPERLINK("https://docs.wto.org/imrd/directdoc.asp?DDFDocuments/u/G/SPS/NZAF47.DOC")</f>
        <v>https://docs.wto.org/imrd/directdoc.asp?DDFDocuments/u/G/SPS/NZAF47.DOC</v>
      </c>
      <c r="M161" s="2" t="str">
        <f>HYPERLINK("https://docs.wto.org/imrd/directdoc.asp?DDFDocuments/v/G/SPS/NZAF47.DOC")</f>
        <v>https://docs.wto.org/imrd/directdoc.asp?DDFDocuments/v/G/SPS/NZAF47.DOC</v>
      </c>
      <c r="N161" s="2" t="str">
        <f>HYPERLINK("http://www.epingalert.org/#/details/G/SPS/N/ZAF/47")</f>
        <v>http://www.epingalert.org/#/details/G/SPS/N/ZAF/47</v>
      </c>
      <c r="O161" s="2"/>
    </row>
    <row r="162" spans="1:15" ht="240" customHeight="1" outlineLevel="1" x14ac:dyDescent="0.25">
      <c r="A162" s="2" t="s">
        <v>18</v>
      </c>
      <c r="B162" s="2" t="s">
        <v>6795</v>
      </c>
      <c r="C162" s="2" t="s">
        <v>6796</v>
      </c>
      <c r="D162" s="2" t="s">
        <v>6797</v>
      </c>
      <c r="E162" s="3">
        <v>42635</v>
      </c>
      <c r="F162" s="2" t="s">
        <v>6798</v>
      </c>
      <c r="G162" s="2" t="s">
        <v>6799</v>
      </c>
      <c r="H162" s="2" t="s">
        <v>2425</v>
      </c>
      <c r="I162" s="2" t="s">
        <v>2461</v>
      </c>
      <c r="J162" s="2"/>
      <c r="K162" s="2" t="str">
        <f>HYPERLINK("https://docs.wto.org/imrd/directdoc.asp?DDFDocuments/t/G/SPS/NUSA2893.DOC")</f>
        <v>https://docs.wto.org/imrd/directdoc.asp?DDFDocuments/t/G/SPS/NUSA2893.DOC</v>
      </c>
      <c r="L162" s="2" t="str">
        <f>HYPERLINK("https://docs.wto.org/imrd/directdoc.asp?DDFDocuments/u/G/SPS/NUSA2893.DOC")</f>
        <v>https://docs.wto.org/imrd/directdoc.asp?DDFDocuments/u/G/SPS/NUSA2893.DOC</v>
      </c>
      <c r="M162" s="2" t="str">
        <f>HYPERLINK("https://docs.wto.org/imrd/directdoc.asp?DDFDocuments/v/G/SPS/NUSA2893.DOC")</f>
        <v>https://docs.wto.org/imrd/directdoc.asp?DDFDocuments/v/G/SPS/NUSA2893.DOC</v>
      </c>
      <c r="N162" s="2" t="str">
        <f>HYPERLINK("http://www.epingalert.org/#/details/G/SPS/N/USA/2893")</f>
        <v>http://www.epingalert.org/#/details/G/SPS/N/USA/2893</v>
      </c>
      <c r="O162" s="2"/>
    </row>
    <row r="163" spans="1:15" ht="240" customHeight="1" outlineLevel="1" x14ac:dyDescent="0.25">
      <c r="A163" s="2" t="s">
        <v>121</v>
      </c>
      <c r="B163" s="2" t="s">
        <v>6806</v>
      </c>
      <c r="C163" s="2" t="s">
        <v>6807</v>
      </c>
      <c r="D163" s="2" t="s">
        <v>6808</v>
      </c>
      <c r="E163" s="3">
        <v>42634</v>
      </c>
      <c r="F163" s="2" t="s">
        <v>6809</v>
      </c>
      <c r="G163" s="2" t="s">
        <v>6810</v>
      </c>
      <c r="H163" s="2" t="s">
        <v>2454</v>
      </c>
      <c r="I163" s="2" t="s">
        <v>6811</v>
      </c>
      <c r="J163" s="2"/>
      <c r="K163" s="2" t="str">
        <f>HYPERLINK("https://docs.wto.org/imrd/directdoc.asp?DDFDocuments/t/G/SPS/NIND160.DOC")</f>
        <v>https://docs.wto.org/imrd/directdoc.asp?DDFDocuments/t/G/SPS/NIND160.DOC</v>
      </c>
      <c r="L163" s="2" t="str">
        <f>HYPERLINK("https://docs.wto.org/imrd/directdoc.asp?DDFDocuments/u/G/SPS/NIND160.DOC")</f>
        <v>https://docs.wto.org/imrd/directdoc.asp?DDFDocuments/u/G/SPS/NIND160.DOC</v>
      </c>
      <c r="M163" s="2" t="str">
        <f>HYPERLINK("https://docs.wto.org/imrd/directdoc.asp?DDFDocuments/v/G/SPS/NIND160.DOC")</f>
        <v>https://docs.wto.org/imrd/directdoc.asp?DDFDocuments/v/G/SPS/NIND160.DOC</v>
      </c>
      <c r="N163" s="2" t="str">
        <f>HYPERLINK("http://www.epingalert.org/#/details/G/SPS/N/IND/160")</f>
        <v>http://www.epingalert.org/#/details/G/SPS/N/IND/160</v>
      </c>
      <c r="O163" s="2"/>
    </row>
    <row r="164" spans="1:15" ht="240" customHeight="1" outlineLevel="1" x14ac:dyDescent="0.25">
      <c r="A164" s="2" t="s">
        <v>121</v>
      </c>
      <c r="B164" s="2" t="s">
        <v>2569</v>
      </c>
      <c r="C164" s="2" t="s">
        <v>2570</v>
      </c>
      <c r="D164" s="2" t="s">
        <v>2571</v>
      </c>
      <c r="E164" s="3">
        <v>42633</v>
      </c>
      <c r="F164" s="2" t="s">
        <v>2572</v>
      </c>
      <c r="G164" s="2"/>
      <c r="H164" s="2" t="s">
        <v>2573</v>
      </c>
      <c r="I164" s="2" t="s">
        <v>2426</v>
      </c>
      <c r="J164" s="3">
        <v>42693</v>
      </c>
      <c r="K164" s="2" t="str">
        <f>HYPERLINK("https://docs.wto.org/imrd/directdoc.asp?DDFDocuments/t/G/SPS/NIND159.DOC")</f>
        <v>https://docs.wto.org/imrd/directdoc.asp?DDFDocuments/t/G/SPS/NIND159.DOC</v>
      </c>
      <c r="L164" s="2" t="str">
        <f>HYPERLINK("https://docs.wto.org/imrd/directdoc.asp?DDFDocuments/u/G/SPS/NIND159.DOC")</f>
        <v>https://docs.wto.org/imrd/directdoc.asp?DDFDocuments/u/G/SPS/NIND159.DOC</v>
      </c>
      <c r="M164" s="2" t="str">
        <f>HYPERLINK("https://docs.wto.org/imrd/directdoc.asp?DDFDocuments/v/G/SPS/NIND159.DOC")</f>
        <v>https://docs.wto.org/imrd/directdoc.asp?DDFDocuments/v/G/SPS/NIND159.DOC</v>
      </c>
      <c r="N164" s="2" t="str">
        <f>HYPERLINK("http://www.epingalert.org/#/details/G/SPS/N/IND/159")</f>
        <v>http://www.epingalert.org/#/details/G/SPS/N/IND/159</v>
      </c>
      <c r="O164" s="2"/>
    </row>
    <row r="165" spans="1:15" ht="240" customHeight="1" outlineLevel="1" x14ac:dyDescent="0.25">
      <c r="A165" s="2" t="s">
        <v>312</v>
      </c>
      <c r="B165" s="2" t="s">
        <v>6812</v>
      </c>
      <c r="C165" s="2" t="s">
        <v>6813</v>
      </c>
      <c r="D165" s="2" t="s">
        <v>6814</v>
      </c>
      <c r="E165" s="3">
        <v>42632</v>
      </c>
      <c r="F165" s="2" t="s">
        <v>6815</v>
      </c>
      <c r="G165" s="2" t="s">
        <v>6816</v>
      </c>
      <c r="H165" s="2" t="s">
        <v>2648</v>
      </c>
      <c r="I165" s="2" t="s">
        <v>3151</v>
      </c>
      <c r="J165" s="3">
        <v>42734</v>
      </c>
      <c r="K165" s="2" t="str">
        <f>HYPERLINK("https://docs.wto.org/imrd/directdoc.asp?DDFDocuments/t/G/SPS/NUGA3.DOC")</f>
        <v>https://docs.wto.org/imrd/directdoc.asp?DDFDocuments/t/G/SPS/NUGA3.DOC</v>
      </c>
      <c r="L165" s="2" t="str">
        <f>HYPERLINK("https://docs.wto.org/imrd/directdoc.asp?DDFDocuments/u/G/SPS/NUGA3.DOC")</f>
        <v>https://docs.wto.org/imrd/directdoc.asp?DDFDocuments/u/G/SPS/NUGA3.DOC</v>
      </c>
      <c r="M165" s="2" t="str">
        <f>HYPERLINK("https://docs.wto.org/imrd/directdoc.asp?DDFDocuments/v/G/SPS/NUGA3.DOC")</f>
        <v>https://docs.wto.org/imrd/directdoc.asp?DDFDocuments/v/G/SPS/NUGA3.DOC</v>
      </c>
      <c r="N165" s="2" t="str">
        <f>HYPERLINK("http://www.epingalert.org/#/details/G/SPS/N/UGA/3")</f>
        <v>http://www.epingalert.org/#/details/G/SPS/N/UGA/3</v>
      </c>
      <c r="O165" s="2"/>
    </row>
    <row r="166" spans="1:15" ht="240" customHeight="1" outlineLevel="1" x14ac:dyDescent="0.25">
      <c r="A166" s="2" t="s">
        <v>42</v>
      </c>
      <c r="B166" s="2" t="s">
        <v>6817</v>
      </c>
      <c r="C166" s="2" t="s">
        <v>6818</v>
      </c>
      <c r="D166" s="2" t="s">
        <v>6819</v>
      </c>
      <c r="E166" s="3">
        <v>42632</v>
      </c>
      <c r="F166" s="2" t="s">
        <v>6820</v>
      </c>
      <c r="G166" s="2" t="s">
        <v>6821</v>
      </c>
      <c r="H166" s="2" t="s">
        <v>2425</v>
      </c>
      <c r="I166" s="2" t="s">
        <v>2461</v>
      </c>
      <c r="J166" s="3">
        <v>42688</v>
      </c>
      <c r="K166" s="2" t="str">
        <f>HYPERLINK("https://docs.wto.org/imrd/directdoc.asp?DDFDocuments/t/G/SPS/NBRA1183.DOC")</f>
        <v>https://docs.wto.org/imrd/directdoc.asp?DDFDocuments/t/G/SPS/NBRA1183.DOC</v>
      </c>
      <c r="L166" s="2" t="str">
        <f>HYPERLINK("https://docs.wto.org/imrd/directdoc.asp?DDFDocuments/u/G/SPS/NBRA1183.DOC")</f>
        <v>https://docs.wto.org/imrd/directdoc.asp?DDFDocuments/u/G/SPS/NBRA1183.DOC</v>
      </c>
      <c r="M166" s="2" t="str">
        <f>HYPERLINK("https://docs.wto.org/imrd/directdoc.asp?DDFDocuments/v/G/SPS/NBRA1183.DOC")</f>
        <v>https://docs.wto.org/imrd/directdoc.asp?DDFDocuments/v/G/SPS/NBRA1183.DOC</v>
      </c>
      <c r="N166" s="2" t="str">
        <f>HYPERLINK("http://www.epingalert.org/#/details/G/SPS/N/BRA/1183")</f>
        <v>http://www.epingalert.org/#/details/G/SPS/N/BRA/1183</v>
      </c>
      <c r="O166" s="2"/>
    </row>
    <row r="167" spans="1:15" ht="240" customHeight="1" outlineLevel="1" x14ac:dyDescent="0.25">
      <c r="A167" s="2" t="s">
        <v>1908</v>
      </c>
      <c r="B167" s="2" t="s">
        <v>2574</v>
      </c>
      <c r="C167" s="2" t="s">
        <v>2575</v>
      </c>
      <c r="D167" s="2" t="s">
        <v>2576</v>
      </c>
      <c r="E167" s="3">
        <v>42628</v>
      </c>
      <c r="F167" s="2" t="s">
        <v>2577</v>
      </c>
      <c r="G167" s="2"/>
      <c r="H167" s="2" t="s">
        <v>2425</v>
      </c>
      <c r="I167" s="2" t="s">
        <v>2426</v>
      </c>
      <c r="J167" s="3">
        <v>42696</v>
      </c>
      <c r="K167" s="2" t="str">
        <f>HYPERLINK("https://docs.wto.org/imrd/directdoc.asp?DDFDocuments/t/G/SPS/NCAN1055.DOC")</f>
        <v>https://docs.wto.org/imrd/directdoc.asp?DDFDocuments/t/G/SPS/NCAN1055.DOC</v>
      </c>
      <c r="L167" s="2" t="str">
        <f>HYPERLINK("https://docs.wto.org/imrd/directdoc.asp?DDFDocuments/u/G/SPS/NCAN1055.DOC")</f>
        <v>https://docs.wto.org/imrd/directdoc.asp?DDFDocuments/u/G/SPS/NCAN1055.DOC</v>
      </c>
      <c r="M167" s="2" t="str">
        <f>HYPERLINK("https://docs.wto.org/imrd/directdoc.asp?DDFDocuments/v/G/SPS/NCAN1055.DOC")</f>
        <v>https://docs.wto.org/imrd/directdoc.asp?DDFDocuments/v/G/SPS/NCAN1055.DOC</v>
      </c>
      <c r="N167" s="2" t="str">
        <f>HYPERLINK("http://www.epingalert.org/#/details/G/SPS/N/CAN/1055")</f>
        <v>http://www.epingalert.org/#/details/G/SPS/N/CAN/1055</v>
      </c>
      <c r="O167" s="2"/>
    </row>
    <row r="168" spans="1:15" ht="240" customHeight="1" outlineLevel="1" x14ac:dyDescent="0.25">
      <c r="A168" s="2" t="s">
        <v>77</v>
      </c>
      <c r="B168" s="2" t="s">
        <v>2578</v>
      </c>
      <c r="C168" s="2"/>
      <c r="D168" s="2"/>
      <c r="E168" s="3">
        <v>42627</v>
      </c>
      <c r="F168" s="2" t="s">
        <v>221</v>
      </c>
      <c r="G168" s="2"/>
      <c r="H168" s="2" t="s">
        <v>2425</v>
      </c>
      <c r="I168" s="2" t="s">
        <v>2491</v>
      </c>
      <c r="J168" s="3">
        <v>42687</v>
      </c>
      <c r="K168" s="2" t="str">
        <f>HYPERLINK("https://docs.wto.org/imrd/directdoc.asp?DDFDocuments/t/G/SPS/NTPKM387A1.DOC")</f>
        <v>https://docs.wto.org/imrd/directdoc.asp?DDFDocuments/t/G/SPS/NTPKM387A1.DOC</v>
      </c>
      <c r="L168" s="2" t="str">
        <f>HYPERLINK("https://docs.wto.org/imrd/directdoc.asp?DDFDocuments/u/G/SPS/NTPKM387A1.DOC")</f>
        <v>https://docs.wto.org/imrd/directdoc.asp?DDFDocuments/u/G/SPS/NTPKM387A1.DOC</v>
      </c>
      <c r="M168" s="2" t="str">
        <f>HYPERLINK("https://docs.wto.org/imrd/directdoc.asp?DDFDocuments/v/G/SPS/NTPKM387A1.DOC")</f>
        <v>https://docs.wto.org/imrd/directdoc.asp?DDFDocuments/v/G/SPS/NTPKM387A1.DOC</v>
      </c>
      <c r="N168" s="2" t="str">
        <f>HYPERLINK("http://www.epingalert.org/#/details/G/SPS/N/TPKM/387/Add.1")</f>
        <v>http://www.epingalert.org/#/details/G/SPS/N/TPKM/387/Add.1</v>
      </c>
      <c r="O168" s="2"/>
    </row>
    <row r="169" spans="1:15" ht="240" customHeight="1" outlineLevel="1" x14ac:dyDescent="0.25">
      <c r="A169" s="2" t="s">
        <v>6822</v>
      </c>
      <c r="B169" s="2" t="s">
        <v>6823</v>
      </c>
      <c r="C169" s="2" t="s">
        <v>6824</v>
      </c>
      <c r="D169" s="2" t="s">
        <v>6825</v>
      </c>
      <c r="E169" s="3">
        <v>42627</v>
      </c>
      <c r="F169" s="2" t="s">
        <v>6826</v>
      </c>
      <c r="G169" s="2" t="s">
        <v>6827</v>
      </c>
      <c r="H169" s="2" t="s">
        <v>2467</v>
      </c>
      <c r="I169" s="2" t="s">
        <v>6828</v>
      </c>
      <c r="J169" s="2"/>
      <c r="K169" s="2" t="str">
        <f>HYPERLINK("https://docs.wto.org/imrd/directdoc.asp?DDFDocuments/t/G/SPS/NDOM66.DOC")</f>
        <v>https://docs.wto.org/imrd/directdoc.asp?DDFDocuments/t/G/SPS/NDOM66.DOC</v>
      </c>
      <c r="L169" s="2" t="str">
        <f>HYPERLINK("https://docs.wto.org/imrd/directdoc.asp?DDFDocuments/u/G/SPS/NDOM66.DOC")</f>
        <v>https://docs.wto.org/imrd/directdoc.asp?DDFDocuments/u/G/SPS/NDOM66.DOC</v>
      </c>
      <c r="M169" s="2" t="str">
        <f>HYPERLINK("https://docs.wto.org/imrd/directdoc.asp?DDFDocuments/v/G/SPS/NDOM66.DOC")</f>
        <v>https://docs.wto.org/imrd/directdoc.asp?DDFDocuments/v/G/SPS/NDOM66.DOC</v>
      </c>
      <c r="N169" s="2" t="str">
        <f>HYPERLINK("http://www.epingalert.org/#/details/G/SPS/N/DOM/66")</f>
        <v>http://www.epingalert.org/#/details/G/SPS/N/DOM/66</v>
      </c>
      <c r="O169" s="2"/>
    </row>
    <row r="170" spans="1:15" ht="240" customHeight="1" outlineLevel="1" x14ac:dyDescent="0.25">
      <c r="A170" s="2" t="s">
        <v>225</v>
      </c>
      <c r="B170" s="2" t="s">
        <v>2579</v>
      </c>
      <c r="C170" s="2" t="s">
        <v>2580</v>
      </c>
      <c r="D170" s="2" t="s">
        <v>2494</v>
      </c>
      <c r="E170" s="3">
        <v>42626</v>
      </c>
      <c r="F170" s="2" t="s">
        <v>2430</v>
      </c>
      <c r="G170" s="2"/>
      <c r="H170" s="2" t="s">
        <v>2425</v>
      </c>
      <c r="I170" s="2" t="s">
        <v>2431</v>
      </c>
      <c r="J170" s="3">
        <v>42688</v>
      </c>
      <c r="K170" s="2" t="str">
        <f>HYPERLINK("https://docs.wto.org/imrd/directdoc.asp?DDFDocuments/t/G/SPS/NAUS398.DOC")</f>
        <v>https://docs.wto.org/imrd/directdoc.asp?DDFDocuments/t/G/SPS/NAUS398.DOC</v>
      </c>
      <c r="L170" s="2" t="str">
        <f>HYPERLINK("https://docs.wto.org/imrd/directdoc.asp?DDFDocuments/u/G/SPS/NAUS398.DOC")</f>
        <v>https://docs.wto.org/imrd/directdoc.asp?DDFDocuments/u/G/SPS/NAUS398.DOC</v>
      </c>
      <c r="M170" s="2" t="str">
        <f>HYPERLINK("https://docs.wto.org/imrd/directdoc.asp?DDFDocuments/v/G/SPS/NAUS398.DOC")</f>
        <v>https://docs.wto.org/imrd/directdoc.asp?DDFDocuments/v/G/SPS/NAUS398.DOC</v>
      </c>
      <c r="N170" s="2" t="str">
        <f>HYPERLINK("http://www.epingalert.org/#/details/G/SPS/N/AUS/398")</f>
        <v>http://www.epingalert.org/#/details/G/SPS/N/AUS/398</v>
      </c>
      <c r="O170" s="2"/>
    </row>
    <row r="171" spans="1:15" ht="240" customHeight="1" outlineLevel="1" x14ac:dyDescent="0.25">
      <c r="A171" s="2" t="s">
        <v>6822</v>
      </c>
      <c r="B171" s="2" t="s">
        <v>6829</v>
      </c>
      <c r="C171" s="2" t="s">
        <v>6830</v>
      </c>
      <c r="D171" s="2" t="s">
        <v>6831</v>
      </c>
      <c r="E171" s="3">
        <v>42626</v>
      </c>
      <c r="F171" s="2"/>
      <c r="G171" s="2" t="s">
        <v>6832</v>
      </c>
      <c r="H171" s="2" t="s">
        <v>2573</v>
      </c>
      <c r="I171" s="2" t="s">
        <v>2672</v>
      </c>
      <c r="J171" s="2"/>
      <c r="K171" s="2" t="str">
        <f>HYPERLINK("https://docs.wto.org/imrd/directdoc.asp?DDFDocuments/t/G/SPS/NDOM17R1A1.DOC")</f>
        <v>https://docs.wto.org/imrd/directdoc.asp?DDFDocuments/t/G/SPS/NDOM17R1A1.DOC</v>
      </c>
      <c r="L171" s="2" t="str">
        <f>HYPERLINK("https://docs.wto.org/imrd/directdoc.asp?DDFDocuments/u/G/SPS/NDOM17R1A1.DOC")</f>
        <v>https://docs.wto.org/imrd/directdoc.asp?DDFDocuments/u/G/SPS/NDOM17R1A1.DOC</v>
      </c>
      <c r="M171" s="2" t="str">
        <f>HYPERLINK("https://docs.wto.org/imrd/directdoc.asp?DDFDocuments/v/G/SPS/NDOM17R1A1.DOC")</f>
        <v>https://docs.wto.org/imrd/directdoc.asp?DDFDocuments/v/G/SPS/NDOM17R1A1.DOC</v>
      </c>
      <c r="N171" s="2" t="str">
        <f>HYPERLINK("http://www.epingalert.org/#/details/G/SPS/N/DOM/17/Rev.1/Add.1")</f>
        <v>http://www.epingalert.org/#/details/G/SPS/N/DOM/17/Rev.1/Add.1</v>
      </c>
      <c r="O171" s="2"/>
    </row>
    <row r="172" spans="1:15" ht="240" customHeight="1" outlineLevel="1" x14ac:dyDescent="0.25">
      <c r="A172" s="2" t="s">
        <v>1042</v>
      </c>
      <c r="B172" s="2" t="s">
        <v>2581</v>
      </c>
      <c r="C172" s="2" t="s">
        <v>2582</v>
      </c>
      <c r="D172" s="2" t="s">
        <v>2583</v>
      </c>
      <c r="E172" s="3">
        <v>42620</v>
      </c>
      <c r="F172" s="2" t="s">
        <v>2584</v>
      </c>
      <c r="G172" s="2"/>
      <c r="H172" s="2" t="s">
        <v>2425</v>
      </c>
      <c r="I172" s="2" t="s">
        <v>2585</v>
      </c>
      <c r="J172" s="3">
        <v>42685</v>
      </c>
      <c r="K172" s="2" t="str">
        <f>HYPERLINK("https://docs.wto.org/imrd/directdoc.asp?DDFDocuments/t/G/SPS/NPHL341.DOC")</f>
        <v>https://docs.wto.org/imrd/directdoc.asp?DDFDocuments/t/G/SPS/NPHL341.DOC</v>
      </c>
      <c r="L172" s="2" t="str">
        <f>HYPERLINK("https://docs.wto.org/imrd/directdoc.asp?DDFDocuments/u/G/SPS/NPHL341.DOC")</f>
        <v>https://docs.wto.org/imrd/directdoc.asp?DDFDocuments/u/G/SPS/NPHL341.DOC</v>
      </c>
      <c r="M172" s="2" t="str">
        <f>HYPERLINK("https://docs.wto.org/imrd/directdoc.asp?DDFDocuments/v/G/SPS/NPHL341.DOC")</f>
        <v>https://docs.wto.org/imrd/directdoc.asp?DDFDocuments/v/G/SPS/NPHL341.DOC</v>
      </c>
      <c r="N172" s="2" t="str">
        <f>HYPERLINK("http://www.epingalert.org/#/details/G/SPS/N/PHL/341")</f>
        <v>http://www.epingalert.org/#/details/G/SPS/N/PHL/341</v>
      </c>
      <c r="O172" s="2"/>
    </row>
    <row r="173" spans="1:15" ht="240" customHeight="1" outlineLevel="1" x14ac:dyDescent="0.25">
      <c r="A173" s="2" t="s">
        <v>646</v>
      </c>
      <c r="B173" s="2" t="s">
        <v>2586</v>
      </c>
      <c r="C173" s="2" t="s">
        <v>2587</v>
      </c>
      <c r="D173" s="2" t="s">
        <v>2588</v>
      </c>
      <c r="E173" s="3">
        <v>42620</v>
      </c>
      <c r="F173" s="2" t="s">
        <v>210</v>
      </c>
      <c r="G173" s="2"/>
      <c r="H173" s="2" t="s">
        <v>2425</v>
      </c>
      <c r="I173" s="2" t="s">
        <v>2499</v>
      </c>
      <c r="J173" s="3">
        <v>42680</v>
      </c>
      <c r="K173" s="2" t="str">
        <f>HYPERLINK("https://docs.wto.org/imrd/directdoc.asp?DDFDocuments/t/G/SPS/NVNM82.DOC")</f>
        <v>https://docs.wto.org/imrd/directdoc.asp?DDFDocuments/t/G/SPS/NVNM82.DOC</v>
      </c>
      <c r="L173" s="2" t="str">
        <f>HYPERLINK("https://docs.wto.org/imrd/directdoc.asp?DDFDocuments/u/G/SPS/NVNM82.DOC")</f>
        <v>https://docs.wto.org/imrd/directdoc.asp?DDFDocuments/u/G/SPS/NVNM82.DOC</v>
      </c>
      <c r="M173" s="2" t="str">
        <f>HYPERLINK("https://docs.wto.org/imrd/directdoc.asp?DDFDocuments/v/G/SPS/NVNM82.DOC")</f>
        <v>https://docs.wto.org/imrd/directdoc.asp?DDFDocuments/v/G/SPS/NVNM82.DOC</v>
      </c>
      <c r="N173" s="2" t="str">
        <f>HYPERLINK("http://www.epingalert.org/#/details/G/SPS/N/VNM/82")</f>
        <v>http://www.epingalert.org/#/details/G/SPS/N/VNM/82</v>
      </c>
      <c r="O173" s="2"/>
    </row>
    <row r="174" spans="1:15" ht="240" customHeight="1" outlineLevel="1" x14ac:dyDescent="0.25">
      <c r="A174" s="2" t="s">
        <v>12</v>
      </c>
      <c r="B174" s="2" t="s">
        <v>2589</v>
      </c>
      <c r="C174" s="2" t="s">
        <v>2590</v>
      </c>
      <c r="D174" s="2" t="s">
        <v>2591</v>
      </c>
      <c r="E174" s="3">
        <v>42620</v>
      </c>
      <c r="F174" s="2" t="s">
        <v>2451</v>
      </c>
      <c r="G174" s="2" t="s">
        <v>2592</v>
      </c>
      <c r="H174" s="2" t="s">
        <v>2425</v>
      </c>
      <c r="I174" s="2" t="s">
        <v>2453</v>
      </c>
      <c r="J174" s="3">
        <v>42680</v>
      </c>
      <c r="K174" s="2" t="str">
        <f>HYPERLINK("https://docs.wto.org/imrd/directdoc.asp?DDFDocuments/t/G/SPS/NEU170.DOC")</f>
        <v>https://docs.wto.org/imrd/directdoc.asp?DDFDocuments/t/G/SPS/NEU170.DOC</v>
      </c>
      <c r="L174" s="2" t="str">
        <f>HYPERLINK("https://docs.wto.org/imrd/directdoc.asp?DDFDocuments/u/G/SPS/NEU170.DOC")</f>
        <v>https://docs.wto.org/imrd/directdoc.asp?DDFDocuments/u/G/SPS/NEU170.DOC</v>
      </c>
      <c r="M174" s="2" t="str">
        <f>HYPERLINK("https://docs.wto.org/imrd/directdoc.asp?DDFDocuments/v/G/SPS/NEU170.DOC")</f>
        <v>https://docs.wto.org/imrd/directdoc.asp?DDFDocuments/v/G/SPS/NEU170.DOC</v>
      </c>
      <c r="N174" s="2" t="str">
        <f>HYPERLINK("http://www.epingalert.org/#/details/G/SPS/N/EU/170")</f>
        <v>http://www.epingalert.org/#/details/G/SPS/N/EU/170</v>
      </c>
      <c r="O174" s="2"/>
    </row>
    <row r="175" spans="1:15" ht="240" customHeight="1" outlineLevel="1" x14ac:dyDescent="0.25">
      <c r="A175" s="2" t="s">
        <v>121</v>
      </c>
      <c r="B175" s="2" t="s">
        <v>6579</v>
      </c>
      <c r="C175" s="2" t="s">
        <v>2570</v>
      </c>
      <c r="D175" s="2" t="s">
        <v>6580</v>
      </c>
      <c r="E175" s="3">
        <v>42620</v>
      </c>
      <c r="F175" s="2" t="s">
        <v>6581</v>
      </c>
      <c r="G175" s="2" t="s">
        <v>1775</v>
      </c>
      <c r="H175" s="2" t="s">
        <v>2425</v>
      </c>
      <c r="I175" s="2" t="s">
        <v>6503</v>
      </c>
      <c r="J175" s="3">
        <v>42680</v>
      </c>
      <c r="K175" s="2" t="str">
        <f>HYPERLINK("https://docs.wto.org/imrd/directdoc.asp?DDFDocuments/t/G/SPS/NIND158.DOC")</f>
        <v>https://docs.wto.org/imrd/directdoc.asp?DDFDocuments/t/G/SPS/NIND158.DOC</v>
      </c>
      <c r="L175" s="2" t="str">
        <f>HYPERLINK("https://docs.wto.org/imrd/directdoc.asp?DDFDocuments/u/G/SPS/NIND158.DOC")</f>
        <v>https://docs.wto.org/imrd/directdoc.asp?DDFDocuments/u/G/SPS/NIND158.DOC</v>
      </c>
      <c r="M175" s="2" t="str">
        <f>HYPERLINK("https://docs.wto.org/imrd/directdoc.asp?DDFDocuments/v/G/SPS/NIND158.DOC")</f>
        <v>https://docs.wto.org/imrd/directdoc.asp?DDFDocuments/v/G/SPS/NIND158.DOC</v>
      </c>
      <c r="N175" s="2" t="str">
        <f>HYPERLINK("http://www.epingalert.org/#/details/G/SPS/N/IND/158")</f>
        <v>http://www.epingalert.org/#/details/G/SPS/N/IND/158</v>
      </c>
      <c r="O175" s="2"/>
    </row>
    <row r="176" spans="1:15" ht="240" customHeight="1" outlineLevel="1" x14ac:dyDescent="0.25">
      <c r="A176" s="2" t="s">
        <v>121</v>
      </c>
      <c r="B176" s="2" t="s">
        <v>6582</v>
      </c>
      <c r="C176" s="2" t="s">
        <v>2570</v>
      </c>
      <c r="D176" s="2" t="s">
        <v>6583</v>
      </c>
      <c r="E176" s="3">
        <v>42620</v>
      </c>
      <c r="F176" s="2" t="s">
        <v>6584</v>
      </c>
      <c r="G176" s="2" t="s">
        <v>1646</v>
      </c>
      <c r="H176" s="2" t="s">
        <v>2425</v>
      </c>
      <c r="I176" s="2" t="s">
        <v>4406</v>
      </c>
      <c r="J176" s="3">
        <v>42680</v>
      </c>
      <c r="K176" s="2" t="str">
        <f>HYPERLINK("https://docs.wto.org/imrd/directdoc.asp?DDFDocuments/t/G/SPS/NIND157.DOC")</f>
        <v>https://docs.wto.org/imrd/directdoc.asp?DDFDocuments/t/G/SPS/NIND157.DOC</v>
      </c>
      <c r="L176" s="2" t="str">
        <f>HYPERLINK("https://docs.wto.org/imrd/directdoc.asp?DDFDocuments/u/G/SPS/NIND157.DOC")</f>
        <v>https://docs.wto.org/imrd/directdoc.asp?DDFDocuments/u/G/SPS/NIND157.DOC</v>
      </c>
      <c r="M176" s="2" t="str">
        <f>HYPERLINK("https://docs.wto.org/imrd/directdoc.asp?DDFDocuments/v/G/SPS/NIND157.DOC")</f>
        <v>https://docs.wto.org/imrd/directdoc.asp?DDFDocuments/v/G/SPS/NIND157.DOC</v>
      </c>
      <c r="N176" s="2" t="str">
        <f>HYPERLINK("http://www.epingalert.org/#/details/G/SPS/N/IND/157")</f>
        <v>http://www.epingalert.org/#/details/G/SPS/N/IND/157</v>
      </c>
      <c r="O176" s="2"/>
    </row>
    <row r="177" spans="1:15" ht="240" customHeight="1" outlineLevel="1" x14ac:dyDescent="0.25">
      <c r="A177" s="2" t="s">
        <v>184</v>
      </c>
      <c r="B177" s="2" t="s">
        <v>2593</v>
      </c>
      <c r="C177" s="2" t="s">
        <v>2594</v>
      </c>
      <c r="D177" s="2" t="s">
        <v>147</v>
      </c>
      <c r="E177" s="3">
        <v>42619</v>
      </c>
      <c r="F177" s="2" t="s">
        <v>2595</v>
      </c>
      <c r="G177" s="2" t="s">
        <v>2596</v>
      </c>
      <c r="H177" s="2" t="s">
        <v>2425</v>
      </c>
      <c r="I177" s="2" t="s">
        <v>2597</v>
      </c>
      <c r="J177" s="3">
        <v>42679</v>
      </c>
      <c r="K177" s="2" t="str">
        <f>HYPERLINK("https://docs.wto.org/imrd/directdoc.asp?DDFDocuments/t/G/SPS/NARE80.DOC")</f>
        <v>https://docs.wto.org/imrd/directdoc.asp?DDFDocuments/t/G/SPS/NARE80.DOC</v>
      </c>
      <c r="L177" s="2" t="str">
        <f t="shared" ref="L177:M179" si="21">HYPERLINK("null")</f>
        <v>null</v>
      </c>
      <c r="M177" s="2" t="str">
        <f t="shared" si="21"/>
        <v>null</v>
      </c>
      <c r="N177" s="2" t="str">
        <f>HYPERLINK("http://www.epingalert.org/#/details/G/SPS/N/ARE/80#G/SPS/N/BHR/160#G/SPS/N/KWT/9#G/SPS/N/OMN/60#G/SPS/N/QAT/64#G/SPS/N/SAU/211#G/SPS/N/YEM/5")</f>
        <v>http://www.epingalert.org/#/details/G/SPS/N/ARE/80#G/SPS/N/BHR/160#G/SPS/N/KWT/9#G/SPS/N/OMN/60#G/SPS/N/QAT/64#G/SPS/N/SAU/211#G/SPS/N/YEM/5</v>
      </c>
      <c r="O177" s="2"/>
    </row>
    <row r="178" spans="1:15" ht="240" customHeight="1" outlineLevel="1" x14ac:dyDescent="0.25">
      <c r="A178" s="2" t="s">
        <v>181</v>
      </c>
      <c r="B178" s="2" t="s">
        <v>2593</v>
      </c>
      <c r="C178" s="2" t="s">
        <v>2594</v>
      </c>
      <c r="D178" s="2" t="s">
        <v>147</v>
      </c>
      <c r="E178" s="3">
        <v>42619</v>
      </c>
      <c r="F178" s="2" t="s">
        <v>2595</v>
      </c>
      <c r="G178" s="2" t="s">
        <v>2598</v>
      </c>
      <c r="H178" s="2" t="s">
        <v>2425</v>
      </c>
      <c r="I178" s="2" t="s">
        <v>2597</v>
      </c>
      <c r="J178" s="3">
        <v>42679</v>
      </c>
      <c r="K178" s="2" t="str">
        <f>HYPERLINK("https://docs.wto.org/imrd/directdoc.asp?DDFDocuments/t/G/SPS/NARE80.DOC")</f>
        <v>https://docs.wto.org/imrd/directdoc.asp?DDFDocuments/t/G/SPS/NARE80.DOC</v>
      </c>
      <c r="L178" s="2" t="str">
        <f t="shared" si="21"/>
        <v>null</v>
      </c>
      <c r="M178" s="2" t="str">
        <f t="shared" si="21"/>
        <v>null</v>
      </c>
      <c r="N178" s="2" t="str">
        <f>HYPERLINK("http://www.epingalert.org/#/details/G/SPS/N/ARE/80#G/SPS/N/BHR/160#G/SPS/N/KWT/9#G/SPS/N/OMN/60#G/SPS/N/QAT/64#G/SPS/N/SAU/211#G/SPS/N/YEM/5")</f>
        <v>http://www.epingalert.org/#/details/G/SPS/N/ARE/80#G/SPS/N/BHR/160#G/SPS/N/KWT/9#G/SPS/N/OMN/60#G/SPS/N/QAT/64#G/SPS/N/SAU/211#G/SPS/N/YEM/5</v>
      </c>
      <c r="O178" s="2"/>
    </row>
    <row r="179" spans="1:15" ht="240" customHeight="1" outlineLevel="1" x14ac:dyDescent="0.25">
      <c r="A179" s="2" t="s">
        <v>144</v>
      </c>
      <c r="B179" s="2" t="s">
        <v>2599</v>
      </c>
      <c r="C179" s="2" t="s">
        <v>2600</v>
      </c>
      <c r="D179" s="2" t="s">
        <v>152</v>
      </c>
      <c r="E179" s="3">
        <v>42619</v>
      </c>
      <c r="F179" s="2" t="s">
        <v>2601</v>
      </c>
      <c r="G179" s="2" t="s">
        <v>2602</v>
      </c>
      <c r="H179" s="2" t="s">
        <v>2425</v>
      </c>
      <c r="I179" s="2" t="s">
        <v>2461</v>
      </c>
      <c r="J179" s="3">
        <v>42679</v>
      </c>
      <c r="K179" s="2" t="str">
        <f>HYPERLINK("https://docs.wto.org/imrd/directdoc.asp?DDFDocuments/t/G/SPS/NARE81.DOC")</f>
        <v>https://docs.wto.org/imrd/directdoc.asp?DDFDocuments/t/G/SPS/NARE81.DOC</v>
      </c>
      <c r="L179" s="2" t="str">
        <f t="shared" si="21"/>
        <v>null</v>
      </c>
      <c r="M179" s="2" t="str">
        <f t="shared" si="21"/>
        <v>null</v>
      </c>
      <c r="N179" s="2" t="str">
        <f>HYPERLINK("http://www.epingalert.org/#/details/G/SPS/N/ARE/81#G/SPS/N/BHR/161#G/SPS/N/KWT/10#G/SPS/N/OMN/61#G/SPS/N/QAT/65#G/SPS/N/SAU/212#G/SPS/N/YEM/6")</f>
        <v>http://www.epingalert.org/#/details/G/SPS/N/ARE/81#G/SPS/N/BHR/161#G/SPS/N/KWT/10#G/SPS/N/OMN/61#G/SPS/N/QAT/65#G/SPS/N/SAU/212#G/SPS/N/YEM/6</v>
      </c>
      <c r="O179" s="2"/>
    </row>
    <row r="180" spans="1:15" ht="240" customHeight="1" outlineLevel="1" x14ac:dyDescent="0.25">
      <c r="A180" s="2" t="s">
        <v>25</v>
      </c>
      <c r="B180" s="2" t="s">
        <v>2603</v>
      </c>
      <c r="C180" s="2" t="s">
        <v>2604</v>
      </c>
      <c r="D180" s="2" t="s">
        <v>2605</v>
      </c>
      <c r="E180" s="3">
        <v>42619</v>
      </c>
      <c r="F180" s="2" t="s">
        <v>2606</v>
      </c>
      <c r="G180" s="2"/>
      <c r="H180" s="2" t="s">
        <v>2425</v>
      </c>
      <c r="I180" s="2" t="s">
        <v>2426</v>
      </c>
      <c r="J180" s="3">
        <v>42679</v>
      </c>
      <c r="K180" s="2" t="str">
        <f>HYPERLINK("https://docs.wto.org/imrd/directdoc.asp?DDFDocuments/t/G/SPS/NKOR548.DOC")</f>
        <v>https://docs.wto.org/imrd/directdoc.asp?DDFDocuments/t/G/SPS/NKOR548.DOC</v>
      </c>
      <c r="L180" s="2" t="str">
        <f>HYPERLINK("https://docs.wto.org/imrd/directdoc.asp?DDFDocuments/u/G/SPS/NKOR548.DOC")</f>
        <v>https://docs.wto.org/imrd/directdoc.asp?DDFDocuments/u/G/SPS/NKOR548.DOC</v>
      </c>
      <c r="M180" s="2" t="str">
        <f>HYPERLINK("https://docs.wto.org/imrd/directdoc.asp?DDFDocuments/v/G/SPS/NKOR548.DOC")</f>
        <v>https://docs.wto.org/imrd/directdoc.asp?DDFDocuments/v/G/SPS/NKOR548.DOC</v>
      </c>
      <c r="N180" s="2" t="str">
        <f>HYPERLINK("http://www.epingalert.org/#/details/G/SPS/N/KOR/548")</f>
        <v>http://www.epingalert.org/#/details/G/SPS/N/KOR/548</v>
      </c>
      <c r="O180" s="2"/>
    </row>
    <row r="181" spans="1:15" ht="240" customHeight="1" outlineLevel="1" x14ac:dyDescent="0.25">
      <c r="A181" s="2" t="s">
        <v>181</v>
      </c>
      <c r="B181" s="2" t="s">
        <v>2599</v>
      </c>
      <c r="C181" s="2" t="s">
        <v>2600</v>
      </c>
      <c r="D181" s="2" t="s">
        <v>152</v>
      </c>
      <c r="E181" s="3">
        <v>42619</v>
      </c>
      <c r="F181" s="2" t="s">
        <v>2601</v>
      </c>
      <c r="G181" s="2" t="s">
        <v>2602</v>
      </c>
      <c r="H181" s="2" t="s">
        <v>2425</v>
      </c>
      <c r="I181" s="2" t="s">
        <v>2461</v>
      </c>
      <c r="J181" s="3">
        <v>42679</v>
      </c>
      <c r="K181" s="2" t="str">
        <f>HYPERLINK("https://docs.wto.org/imrd/directdoc.asp?DDFDocuments/t/G/SPS/NARE81.DOC")</f>
        <v>https://docs.wto.org/imrd/directdoc.asp?DDFDocuments/t/G/SPS/NARE81.DOC</v>
      </c>
      <c r="L181" s="2" t="str">
        <f>HYPERLINK("null")</f>
        <v>null</v>
      </c>
      <c r="M181" s="2" t="str">
        <f>HYPERLINK("null")</f>
        <v>null</v>
      </c>
      <c r="N181" s="2" t="str">
        <f>HYPERLINK("http://www.epingalert.org/#/details/G/SPS/N/ARE/81#G/SPS/N/BHR/161#G/SPS/N/KWT/10#G/SPS/N/OMN/61#G/SPS/N/QAT/65#G/SPS/N/SAU/212#G/SPS/N/YEM/6")</f>
        <v>http://www.epingalert.org/#/details/G/SPS/N/ARE/81#G/SPS/N/BHR/161#G/SPS/N/KWT/10#G/SPS/N/OMN/61#G/SPS/N/QAT/65#G/SPS/N/SAU/212#G/SPS/N/YEM/6</v>
      </c>
      <c r="O181" s="2"/>
    </row>
    <row r="182" spans="1:15" ht="240" customHeight="1" outlineLevel="1" x14ac:dyDescent="0.25">
      <c r="A182" s="2" t="s">
        <v>179</v>
      </c>
      <c r="B182" s="2" t="s">
        <v>2593</v>
      </c>
      <c r="C182" s="2" t="s">
        <v>2594</v>
      </c>
      <c r="D182" s="2" t="s">
        <v>147</v>
      </c>
      <c r="E182" s="3">
        <v>42619</v>
      </c>
      <c r="F182" s="2" t="s">
        <v>2595</v>
      </c>
      <c r="G182" s="2" t="s">
        <v>2596</v>
      </c>
      <c r="H182" s="2" t="s">
        <v>2425</v>
      </c>
      <c r="I182" s="2" t="s">
        <v>2597</v>
      </c>
      <c r="J182" s="3">
        <v>42679</v>
      </c>
      <c r="K182" s="2" t="str">
        <f>HYPERLINK("https://docs.wto.org/imrd/directdoc.asp?DDFDocuments/t/G/SPS/NARE80.DOC")</f>
        <v>https://docs.wto.org/imrd/directdoc.asp?DDFDocuments/t/G/SPS/NARE80.DOC</v>
      </c>
      <c r="L182" s="2" t="str">
        <f>HYPERLINK("null")</f>
        <v>null</v>
      </c>
      <c r="M182" s="2" t="str">
        <f>HYPERLINK("null")</f>
        <v>null</v>
      </c>
      <c r="N182" s="2" t="str">
        <f>HYPERLINK("http://www.epingalert.org/#/details/G/SPS/N/ARE/80#G/SPS/N/BHR/160#G/SPS/N/KWT/9#G/SPS/N/OMN/60#G/SPS/N/QAT/64#G/SPS/N/SAU/211#G/SPS/N/YEM/5")</f>
        <v>http://www.epingalert.org/#/details/G/SPS/N/ARE/80#G/SPS/N/BHR/160#G/SPS/N/KWT/9#G/SPS/N/OMN/60#G/SPS/N/QAT/64#G/SPS/N/SAU/211#G/SPS/N/YEM/5</v>
      </c>
      <c r="O182" s="2"/>
    </row>
    <row r="183" spans="1:15" ht="240" customHeight="1" outlineLevel="1" x14ac:dyDescent="0.25">
      <c r="A183" s="2" t="s">
        <v>173</v>
      </c>
      <c r="B183" s="2" t="s">
        <v>2599</v>
      </c>
      <c r="C183" s="2" t="s">
        <v>2600</v>
      </c>
      <c r="D183" s="2" t="s">
        <v>152</v>
      </c>
      <c r="E183" s="3">
        <v>42619</v>
      </c>
      <c r="F183" s="2" t="s">
        <v>2601</v>
      </c>
      <c r="G183" s="2" t="s">
        <v>2602</v>
      </c>
      <c r="H183" s="2" t="s">
        <v>2425</v>
      </c>
      <c r="I183" s="2" t="s">
        <v>2461</v>
      </c>
      <c r="J183" s="3">
        <v>42679</v>
      </c>
      <c r="K183" s="2" t="str">
        <f>HYPERLINK("https://docs.wto.org/imrd/directdoc.asp?DDFDocuments/t/G/SPS/NARE81.DOC")</f>
        <v>https://docs.wto.org/imrd/directdoc.asp?DDFDocuments/t/G/SPS/NARE81.DOC</v>
      </c>
      <c r="L183" s="2" t="str">
        <f>HYPERLINK("https://docs.wto.org/imrd/directdoc.asp?DDFDocuments/u/G/SPS/NARE81.DOC")</f>
        <v>https://docs.wto.org/imrd/directdoc.asp?DDFDocuments/u/G/SPS/NARE81.DOC</v>
      </c>
      <c r="M183" s="2" t="str">
        <f>HYPERLINK("https://docs.wto.org/imrd/directdoc.asp?DDFDocuments/v/G/SPS/NARE81.DOC")</f>
        <v>https://docs.wto.org/imrd/directdoc.asp?DDFDocuments/v/G/SPS/NARE81.DOC</v>
      </c>
      <c r="N183" s="2" t="str">
        <f>HYPERLINK("http://www.epingalert.org/#/details/G/SPS/N/ARE/81#G/SPS/N/BHR/161#G/SPS/N/KWT/10#G/SPS/N/OMN/61#G/SPS/N/QAT/65#G/SPS/N/SAU/212#G/SPS/N/YEM/6")</f>
        <v>http://www.epingalert.org/#/details/G/SPS/N/ARE/81#G/SPS/N/BHR/161#G/SPS/N/KWT/10#G/SPS/N/OMN/61#G/SPS/N/QAT/65#G/SPS/N/SAU/212#G/SPS/N/YEM/6</v>
      </c>
      <c r="O183" s="2"/>
    </row>
    <row r="184" spans="1:15" ht="240" customHeight="1" outlineLevel="1" x14ac:dyDescent="0.25">
      <c r="A184" s="2" t="s">
        <v>178</v>
      </c>
      <c r="B184" s="2" t="s">
        <v>2599</v>
      </c>
      <c r="C184" s="2" t="s">
        <v>2600</v>
      </c>
      <c r="D184" s="2" t="s">
        <v>152</v>
      </c>
      <c r="E184" s="3">
        <v>42619</v>
      </c>
      <c r="F184" s="2" t="s">
        <v>2601</v>
      </c>
      <c r="G184" s="2" t="s">
        <v>2602</v>
      </c>
      <c r="H184" s="2" t="s">
        <v>2425</v>
      </c>
      <c r="I184" s="2" t="s">
        <v>2461</v>
      </c>
      <c r="J184" s="3">
        <v>42679</v>
      </c>
      <c r="K184" s="2" t="str">
        <f>HYPERLINK("https://docs.wto.org/imrd/directdoc.asp?DDFDocuments/t/G/SPS/NARE81.DOC")</f>
        <v>https://docs.wto.org/imrd/directdoc.asp?DDFDocuments/t/G/SPS/NARE81.DOC</v>
      </c>
      <c r="L184" s="2" t="str">
        <f>HYPERLINK("null")</f>
        <v>null</v>
      </c>
      <c r="M184" s="2" t="str">
        <f>HYPERLINK("null")</f>
        <v>null</v>
      </c>
      <c r="N184" s="2" t="str">
        <f>HYPERLINK("http://www.epingalert.org/#/details/G/SPS/N/ARE/81#G/SPS/N/BHR/161#G/SPS/N/KWT/10#G/SPS/N/OMN/61#G/SPS/N/QAT/65#G/SPS/N/SAU/212#G/SPS/N/YEM/6")</f>
        <v>http://www.epingalert.org/#/details/G/SPS/N/ARE/81#G/SPS/N/BHR/161#G/SPS/N/KWT/10#G/SPS/N/OMN/61#G/SPS/N/QAT/65#G/SPS/N/SAU/212#G/SPS/N/YEM/6</v>
      </c>
      <c r="O184" s="2"/>
    </row>
    <row r="185" spans="1:15" ht="240" customHeight="1" outlineLevel="1" x14ac:dyDescent="0.25">
      <c r="A185" s="2" t="s">
        <v>173</v>
      </c>
      <c r="B185" s="2" t="s">
        <v>2593</v>
      </c>
      <c r="C185" s="2" t="s">
        <v>2594</v>
      </c>
      <c r="D185" s="2" t="s">
        <v>147</v>
      </c>
      <c r="E185" s="3">
        <v>42619</v>
      </c>
      <c r="F185" s="2" t="s">
        <v>2595</v>
      </c>
      <c r="G185" s="2" t="s">
        <v>2607</v>
      </c>
      <c r="H185" s="2" t="s">
        <v>2425</v>
      </c>
      <c r="I185" s="2" t="s">
        <v>2597</v>
      </c>
      <c r="J185" s="3">
        <v>42679</v>
      </c>
      <c r="K185" s="2" t="str">
        <f>HYPERLINK("https://docs.wto.org/imrd/directdoc.asp?DDFDocuments/t/G/SPS/NARE80.DOC")</f>
        <v>https://docs.wto.org/imrd/directdoc.asp?DDFDocuments/t/G/SPS/NARE80.DOC</v>
      </c>
      <c r="L185" s="2" t="str">
        <f>HYPERLINK("https://docs.wto.org/imrd/directdoc.asp?DDFDocuments/u/G/SPS/NARE80.DOC")</f>
        <v>https://docs.wto.org/imrd/directdoc.asp?DDFDocuments/u/G/SPS/NARE80.DOC</v>
      </c>
      <c r="M185" s="2" t="str">
        <f>HYPERLINK("https://docs.wto.org/imrd/directdoc.asp?DDFDocuments/v/G/SPS/NARE80.DOC")</f>
        <v>https://docs.wto.org/imrd/directdoc.asp?DDFDocuments/v/G/SPS/NARE80.DOC</v>
      </c>
      <c r="N185" s="2" t="str">
        <f>HYPERLINK("http://www.epingalert.org/#/details/G/SPS/N/ARE/80#G/SPS/N/BHR/160#G/SPS/N/KWT/9#G/SPS/N/OMN/60#G/SPS/N/QAT/64#G/SPS/N/SAU/211#G/SPS/N/YEM/5")</f>
        <v>http://www.epingalert.org/#/details/G/SPS/N/ARE/80#G/SPS/N/BHR/160#G/SPS/N/KWT/9#G/SPS/N/OMN/60#G/SPS/N/QAT/64#G/SPS/N/SAU/211#G/SPS/N/YEM/5</v>
      </c>
      <c r="O185" s="2"/>
    </row>
    <row r="186" spans="1:15" ht="240" customHeight="1" outlineLevel="1" x14ac:dyDescent="0.25">
      <c r="A186" s="2" t="s">
        <v>180</v>
      </c>
      <c r="B186" s="2" t="s">
        <v>2599</v>
      </c>
      <c r="C186" s="2" t="s">
        <v>2600</v>
      </c>
      <c r="D186" s="2" t="s">
        <v>152</v>
      </c>
      <c r="E186" s="3">
        <v>42619</v>
      </c>
      <c r="F186" s="2" t="s">
        <v>2601</v>
      </c>
      <c r="G186" s="2" t="s">
        <v>2602</v>
      </c>
      <c r="H186" s="2" t="s">
        <v>2425</v>
      </c>
      <c r="I186" s="2" t="s">
        <v>2461</v>
      </c>
      <c r="J186" s="3">
        <v>42679</v>
      </c>
      <c r="K186" s="2" t="str">
        <f>HYPERLINK("https://docs.wto.org/imrd/directdoc.asp?DDFDocuments/t/G/SPS/NARE81.DOC")</f>
        <v>https://docs.wto.org/imrd/directdoc.asp?DDFDocuments/t/G/SPS/NARE81.DOC</v>
      </c>
      <c r="L186" s="2" t="str">
        <f t="shared" ref="L186:M189" si="22">HYPERLINK("null")</f>
        <v>null</v>
      </c>
      <c r="M186" s="2" t="str">
        <f t="shared" si="22"/>
        <v>null</v>
      </c>
      <c r="N186" s="2" t="str">
        <f>HYPERLINK("http://www.epingalert.org/#/details/G/SPS/N/ARE/81#G/SPS/N/BHR/161#G/SPS/N/KWT/10#G/SPS/N/OMN/61#G/SPS/N/QAT/65#G/SPS/N/SAU/212#G/SPS/N/YEM/6")</f>
        <v>http://www.epingalert.org/#/details/G/SPS/N/ARE/81#G/SPS/N/BHR/161#G/SPS/N/KWT/10#G/SPS/N/OMN/61#G/SPS/N/QAT/65#G/SPS/N/SAU/212#G/SPS/N/YEM/6</v>
      </c>
      <c r="O186" s="2"/>
    </row>
    <row r="187" spans="1:15" ht="240" customHeight="1" outlineLevel="1" x14ac:dyDescent="0.25">
      <c r="A187" s="2" t="s">
        <v>178</v>
      </c>
      <c r="B187" s="2" t="s">
        <v>2593</v>
      </c>
      <c r="C187" s="2" t="s">
        <v>2594</v>
      </c>
      <c r="D187" s="2" t="s">
        <v>147</v>
      </c>
      <c r="E187" s="3">
        <v>42619</v>
      </c>
      <c r="F187" s="2" t="s">
        <v>2595</v>
      </c>
      <c r="G187" s="2" t="s">
        <v>2608</v>
      </c>
      <c r="H187" s="2" t="s">
        <v>2425</v>
      </c>
      <c r="I187" s="2" t="s">
        <v>2597</v>
      </c>
      <c r="J187" s="3">
        <v>42679</v>
      </c>
      <c r="K187" s="2" t="str">
        <f>HYPERLINK("https://docs.wto.org/imrd/directdoc.asp?DDFDocuments/t/G/SPS/NARE80.DOC")</f>
        <v>https://docs.wto.org/imrd/directdoc.asp?DDFDocuments/t/G/SPS/NARE80.DOC</v>
      </c>
      <c r="L187" s="2" t="str">
        <f t="shared" si="22"/>
        <v>null</v>
      </c>
      <c r="M187" s="2" t="str">
        <f t="shared" si="22"/>
        <v>null</v>
      </c>
      <c r="N187" s="2" t="str">
        <f>HYPERLINK("http://www.epingalert.org/#/details/G/SPS/N/ARE/80#G/SPS/N/BHR/160#G/SPS/N/KWT/9#G/SPS/N/OMN/60#G/SPS/N/QAT/64#G/SPS/N/SAU/211#G/SPS/N/YEM/5")</f>
        <v>http://www.epingalert.org/#/details/G/SPS/N/ARE/80#G/SPS/N/BHR/160#G/SPS/N/KWT/9#G/SPS/N/OMN/60#G/SPS/N/QAT/64#G/SPS/N/SAU/211#G/SPS/N/YEM/5</v>
      </c>
      <c r="O187" s="2"/>
    </row>
    <row r="188" spans="1:15" ht="240" customHeight="1" outlineLevel="1" x14ac:dyDescent="0.25">
      <c r="A188" s="2" t="s">
        <v>180</v>
      </c>
      <c r="B188" s="2" t="s">
        <v>2593</v>
      </c>
      <c r="C188" s="2" t="s">
        <v>2594</v>
      </c>
      <c r="D188" s="2" t="s">
        <v>147</v>
      </c>
      <c r="E188" s="3">
        <v>42619</v>
      </c>
      <c r="F188" s="2" t="s">
        <v>2595</v>
      </c>
      <c r="G188" s="2"/>
      <c r="H188" s="2" t="s">
        <v>2425</v>
      </c>
      <c r="I188" s="2" t="s">
        <v>2461</v>
      </c>
      <c r="J188" s="3">
        <v>42679</v>
      </c>
      <c r="K188" s="2" t="str">
        <f>HYPERLINK("https://docs.wto.org/imrd/directdoc.asp?DDFDocuments/t/G/SPS/NARE80.DOC")</f>
        <v>https://docs.wto.org/imrd/directdoc.asp?DDFDocuments/t/G/SPS/NARE80.DOC</v>
      </c>
      <c r="L188" s="2" t="str">
        <f t="shared" si="22"/>
        <v>null</v>
      </c>
      <c r="M188" s="2" t="str">
        <f t="shared" si="22"/>
        <v>null</v>
      </c>
      <c r="N188" s="2" t="str">
        <f>HYPERLINK("http://www.epingalert.org/#/details/G/SPS/N/ARE/80#G/SPS/N/BHR/160#G/SPS/N/KWT/9#G/SPS/N/OMN/60#G/SPS/N/QAT/64#G/SPS/N/SAU/211#G/SPS/N/YEM/5")</f>
        <v>http://www.epingalert.org/#/details/G/SPS/N/ARE/80#G/SPS/N/BHR/160#G/SPS/N/KWT/9#G/SPS/N/OMN/60#G/SPS/N/QAT/64#G/SPS/N/SAU/211#G/SPS/N/YEM/5</v>
      </c>
      <c r="O188" s="2"/>
    </row>
    <row r="189" spans="1:15" ht="240" customHeight="1" outlineLevel="1" x14ac:dyDescent="0.25">
      <c r="A189" s="2" t="s">
        <v>179</v>
      </c>
      <c r="B189" s="2" t="s">
        <v>2599</v>
      </c>
      <c r="C189" s="2" t="s">
        <v>2600</v>
      </c>
      <c r="D189" s="2" t="s">
        <v>152</v>
      </c>
      <c r="E189" s="3">
        <v>42619</v>
      </c>
      <c r="F189" s="2" t="s">
        <v>2601</v>
      </c>
      <c r="G189" s="2" t="s">
        <v>2602</v>
      </c>
      <c r="H189" s="2" t="s">
        <v>2425</v>
      </c>
      <c r="I189" s="2" t="s">
        <v>2461</v>
      </c>
      <c r="J189" s="3">
        <v>42679</v>
      </c>
      <c r="K189" s="2" t="str">
        <f>HYPERLINK("https://docs.wto.org/imrd/directdoc.asp?DDFDocuments/t/G/SPS/NARE81.DOC")</f>
        <v>https://docs.wto.org/imrd/directdoc.asp?DDFDocuments/t/G/SPS/NARE81.DOC</v>
      </c>
      <c r="L189" s="2" t="str">
        <f t="shared" si="22"/>
        <v>null</v>
      </c>
      <c r="M189" s="2" t="str">
        <f t="shared" si="22"/>
        <v>null</v>
      </c>
      <c r="N189" s="2" t="str">
        <f>HYPERLINK("http://www.epingalert.org/#/details/G/SPS/N/ARE/81#G/SPS/N/BHR/161#G/SPS/N/KWT/10#G/SPS/N/OMN/61#G/SPS/N/QAT/65#G/SPS/N/SAU/212#G/SPS/N/YEM/6")</f>
        <v>http://www.epingalert.org/#/details/G/SPS/N/ARE/81#G/SPS/N/BHR/161#G/SPS/N/KWT/10#G/SPS/N/OMN/61#G/SPS/N/QAT/65#G/SPS/N/SAU/212#G/SPS/N/YEM/6</v>
      </c>
      <c r="O189" s="2"/>
    </row>
    <row r="190" spans="1:15" ht="240" customHeight="1" outlineLevel="1" x14ac:dyDescent="0.25">
      <c r="A190" s="2" t="s">
        <v>77</v>
      </c>
      <c r="B190" s="2" t="s">
        <v>2609</v>
      </c>
      <c r="C190" s="2" t="s">
        <v>2610</v>
      </c>
      <c r="D190" s="2" t="s">
        <v>2611</v>
      </c>
      <c r="E190" s="3">
        <v>42619</v>
      </c>
      <c r="F190" s="2" t="s">
        <v>2612</v>
      </c>
      <c r="G190" s="2"/>
      <c r="H190" s="2" t="s">
        <v>2425</v>
      </c>
      <c r="I190" s="2" t="s">
        <v>2535</v>
      </c>
      <c r="J190" s="3">
        <v>42679</v>
      </c>
      <c r="K190" s="2" t="str">
        <f>HYPERLINK("https://docs.wto.org/imrd/directdoc.asp?DDFDocuments/t/G/SPS/NTPKM410.DOC")</f>
        <v>https://docs.wto.org/imrd/directdoc.asp?DDFDocuments/t/G/SPS/NTPKM410.DOC</v>
      </c>
      <c r="L190" s="2" t="str">
        <f>HYPERLINK("https://docs.wto.org/imrd/directdoc.asp?DDFDocuments/u/G/SPS/NTPKM410.DOC")</f>
        <v>https://docs.wto.org/imrd/directdoc.asp?DDFDocuments/u/G/SPS/NTPKM410.DOC</v>
      </c>
      <c r="M190" s="2" t="str">
        <f>HYPERLINK("https://docs.wto.org/imrd/directdoc.asp?DDFDocuments/v/G/SPS/NTPKM410.DOC")</f>
        <v>https://docs.wto.org/imrd/directdoc.asp?DDFDocuments/v/G/SPS/NTPKM410.DOC</v>
      </c>
      <c r="N190" s="2" t="str">
        <f>HYPERLINK("http://www.epingalert.org/#/details/G/SPS/N/TPKM/410")</f>
        <v>http://www.epingalert.org/#/details/G/SPS/N/TPKM/410</v>
      </c>
      <c r="O190" s="2"/>
    </row>
    <row r="191" spans="1:15" ht="240" customHeight="1" outlineLevel="1" x14ac:dyDescent="0.25">
      <c r="A191" s="2" t="s">
        <v>144</v>
      </c>
      <c r="B191" s="2" t="s">
        <v>2593</v>
      </c>
      <c r="C191" s="2" t="s">
        <v>2594</v>
      </c>
      <c r="D191" s="2" t="s">
        <v>147</v>
      </c>
      <c r="E191" s="3">
        <v>42619</v>
      </c>
      <c r="F191" s="2" t="s">
        <v>2595</v>
      </c>
      <c r="G191" s="2" t="s">
        <v>2608</v>
      </c>
      <c r="H191" s="2" t="s">
        <v>2425</v>
      </c>
      <c r="I191" s="2" t="s">
        <v>2597</v>
      </c>
      <c r="J191" s="3">
        <v>42679</v>
      </c>
      <c r="K191" s="2" t="str">
        <f>HYPERLINK("https://docs.wto.org/imrd/directdoc.asp?DDFDocuments/t/G/SPS/NARE80.DOC")</f>
        <v>https://docs.wto.org/imrd/directdoc.asp?DDFDocuments/t/G/SPS/NARE80.DOC</v>
      </c>
      <c r="L191" s="2" t="str">
        <f>HYPERLINK("null")</f>
        <v>null</v>
      </c>
      <c r="M191" s="2" t="str">
        <f>HYPERLINK("null")</f>
        <v>null</v>
      </c>
      <c r="N191" s="2" t="str">
        <f>HYPERLINK("http://www.epingalert.org/#/details/G/SPS/N/ARE/80#G/SPS/N/BHR/160#G/SPS/N/KWT/9#G/SPS/N/OMN/60#G/SPS/N/QAT/64#G/SPS/N/SAU/211#G/SPS/N/YEM/5")</f>
        <v>http://www.epingalert.org/#/details/G/SPS/N/ARE/80#G/SPS/N/BHR/160#G/SPS/N/KWT/9#G/SPS/N/OMN/60#G/SPS/N/QAT/64#G/SPS/N/SAU/211#G/SPS/N/YEM/5</v>
      </c>
      <c r="O191" s="2"/>
    </row>
    <row r="192" spans="1:15" ht="240" customHeight="1" outlineLevel="1" x14ac:dyDescent="0.25">
      <c r="A192" s="2" t="s">
        <v>184</v>
      </c>
      <c r="B192" s="2" t="s">
        <v>2599</v>
      </c>
      <c r="C192" s="2" t="s">
        <v>2600</v>
      </c>
      <c r="D192" s="2" t="s">
        <v>152</v>
      </c>
      <c r="E192" s="3">
        <v>42619</v>
      </c>
      <c r="F192" s="2" t="s">
        <v>2601</v>
      </c>
      <c r="G192" s="2" t="s">
        <v>2602</v>
      </c>
      <c r="H192" s="2" t="s">
        <v>2425</v>
      </c>
      <c r="I192" s="2" t="s">
        <v>2461</v>
      </c>
      <c r="J192" s="3">
        <v>42679</v>
      </c>
      <c r="K192" s="2" t="str">
        <f>HYPERLINK("https://docs.wto.org/imrd/directdoc.asp?DDFDocuments/t/G/SPS/NARE81.DOC")</f>
        <v>https://docs.wto.org/imrd/directdoc.asp?DDFDocuments/t/G/SPS/NARE81.DOC</v>
      </c>
      <c r="L192" s="2" t="str">
        <f>HYPERLINK("null")</f>
        <v>null</v>
      </c>
      <c r="M192" s="2" t="str">
        <f>HYPERLINK("null")</f>
        <v>null</v>
      </c>
      <c r="N192" s="2" t="str">
        <f>HYPERLINK("http://www.epingalert.org/#/details/G/SPS/N/ARE/81#G/SPS/N/BHR/161#G/SPS/N/KWT/10#G/SPS/N/OMN/61#G/SPS/N/QAT/65#G/SPS/N/SAU/212#G/SPS/N/YEM/6")</f>
        <v>http://www.epingalert.org/#/details/G/SPS/N/ARE/81#G/SPS/N/BHR/161#G/SPS/N/KWT/10#G/SPS/N/OMN/61#G/SPS/N/QAT/65#G/SPS/N/SAU/212#G/SPS/N/YEM/6</v>
      </c>
      <c r="O192" s="2"/>
    </row>
    <row r="193" spans="1:15" ht="240" customHeight="1" outlineLevel="1" x14ac:dyDescent="0.25">
      <c r="A193" s="2" t="s">
        <v>121</v>
      </c>
      <c r="B193" s="2" t="s">
        <v>6838</v>
      </c>
      <c r="C193" s="2" t="s">
        <v>6839</v>
      </c>
      <c r="D193" s="2" t="s">
        <v>6840</v>
      </c>
      <c r="E193" s="3">
        <v>42619</v>
      </c>
      <c r="F193" s="2" t="s">
        <v>6841</v>
      </c>
      <c r="G193" s="2" t="s">
        <v>6842</v>
      </c>
      <c r="H193" s="2" t="s">
        <v>2573</v>
      </c>
      <c r="I193" s="2" t="s">
        <v>2535</v>
      </c>
      <c r="J193" s="3">
        <v>42679</v>
      </c>
      <c r="K193" s="2" t="str">
        <f>HYPERLINK("https://docs.wto.org/imrd/directdoc.asp?DDFDocuments/t/G/SPS/NIND156.DOC")</f>
        <v>https://docs.wto.org/imrd/directdoc.asp?DDFDocuments/t/G/SPS/NIND156.DOC</v>
      </c>
      <c r="L193" s="2" t="str">
        <f>HYPERLINK("https://docs.wto.org/imrd/directdoc.asp?DDFDocuments/u/G/SPS/NIND156.DOC")</f>
        <v>https://docs.wto.org/imrd/directdoc.asp?DDFDocuments/u/G/SPS/NIND156.DOC</v>
      </c>
      <c r="M193" s="2" t="str">
        <f>HYPERLINK("https://docs.wto.org/imrd/directdoc.asp?DDFDocuments/v/G/SPS/NIND156.DOC")</f>
        <v>https://docs.wto.org/imrd/directdoc.asp?DDFDocuments/v/G/SPS/NIND156.DOC</v>
      </c>
      <c r="N193" s="2" t="str">
        <f>HYPERLINK("http://www.epingalert.org/#/details/G/SPS/N/IND/156")</f>
        <v>http://www.epingalert.org/#/details/G/SPS/N/IND/156</v>
      </c>
      <c r="O193" s="2"/>
    </row>
    <row r="194" spans="1:15" ht="240" customHeight="1" outlineLevel="1" x14ac:dyDescent="0.25">
      <c r="A194" s="2" t="s">
        <v>180</v>
      </c>
      <c r="B194" s="2" t="s">
        <v>6843</v>
      </c>
      <c r="C194" s="2" t="s">
        <v>6844</v>
      </c>
      <c r="D194" s="2" t="s">
        <v>6845</v>
      </c>
      <c r="E194" s="3">
        <v>42619</v>
      </c>
      <c r="F194" s="2" t="s">
        <v>6846</v>
      </c>
      <c r="G194" s="2" t="s">
        <v>6847</v>
      </c>
      <c r="H194" s="2" t="s">
        <v>2425</v>
      </c>
      <c r="I194" s="2" t="s">
        <v>2461</v>
      </c>
      <c r="J194" s="3">
        <v>42679</v>
      </c>
      <c r="K194" s="2" t="str">
        <f>HYPERLINK("https://docs.wto.org/imrd/directdoc.asp?DDFDocuments/t/G/SPS/NARE79.DOC")</f>
        <v>https://docs.wto.org/imrd/directdoc.asp?DDFDocuments/t/G/SPS/NARE79.DOC</v>
      </c>
      <c r="L194" s="2" t="str">
        <f t="shared" ref="L194:M202" si="23">HYPERLINK("null")</f>
        <v>null</v>
      </c>
      <c r="M194" s="2" t="str">
        <f t="shared" si="23"/>
        <v>null</v>
      </c>
      <c r="N194" s="2" t="str">
        <f>HYPERLINK("http://www.epingalert.org/#/details/G/SPS/N/ARE/79#G/SPS/N/BHR/159#G/SPS/N/KWT/8#G/SPS/N/OMN/59#G/SPS/N/QAT/63#G/SPS/N/SAU/210#G/SPS/N/YEM/4")</f>
        <v>http://www.epingalert.org/#/details/G/SPS/N/ARE/79#G/SPS/N/BHR/159#G/SPS/N/KWT/8#G/SPS/N/OMN/59#G/SPS/N/QAT/63#G/SPS/N/SAU/210#G/SPS/N/YEM/4</v>
      </c>
      <c r="O194" s="2"/>
    </row>
    <row r="195" spans="1:15" ht="240" customHeight="1" outlineLevel="1" x14ac:dyDescent="0.25">
      <c r="A195" s="2" t="s">
        <v>178</v>
      </c>
      <c r="B195" s="2" t="s">
        <v>6848</v>
      </c>
      <c r="C195" s="2" t="s">
        <v>6849</v>
      </c>
      <c r="D195" s="2" t="s">
        <v>6850</v>
      </c>
      <c r="E195" s="3">
        <v>42619</v>
      </c>
      <c r="F195" s="2" t="s">
        <v>6851</v>
      </c>
      <c r="G195" s="2" t="s">
        <v>6852</v>
      </c>
      <c r="H195" s="2" t="s">
        <v>2425</v>
      </c>
      <c r="I195" s="2" t="s">
        <v>2461</v>
      </c>
      <c r="J195" s="3">
        <v>42679</v>
      </c>
      <c r="K195" s="2" t="str">
        <f>HYPERLINK("https://docs.wto.org/imrd/directdoc.asp?DDFDocuments/t/G/SPS/NARE76.DOC")</f>
        <v>https://docs.wto.org/imrd/directdoc.asp?DDFDocuments/t/G/SPS/NARE76.DOC</v>
      </c>
      <c r="L195" s="2" t="str">
        <f t="shared" si="23"/>
        <v>null</v>
      </c>
      <c r="M195" s="2" t="str">
        <f t="shared" si="23"/>
        <v>null</v>
      </c>
      <c r="N195" s="2" t="str">
        <f>HYPERLINK("http://www.epingalert.org/#/details/G/SPS/N/ARE/76#G/SPS/N/BHR/156#G/SPS/N/KWT/5#G/SPS/N/OMN/56#G/SPS/N/QAT/60#G/SPS/N/SAU/207#G/SPS/N/YEM/1")</f>
        <v>http://www.epingalert.org/#/details/G/SPS/N/ARE/76#G/SPS/N/BHR/156#G/SPS/N/KWT/5#G/SPS/N/OMN/56#G/SPS/N/QAT/60#G/SPS/N/SAU/207#G/SPS/N/YEM/1</v>
      </c>
      <c r="O195" s="2"/>
    </row>
    <row r="196" spans="1:15" ht="240" customHeight="1" outlineLevel="1" x14ac:dyDescent="0.25">
      <c r="A196" s="2" t="s">
        <v>179</v>
      </c>
      <c r="B196" s="2" t="s">
        <v>6853</v>
      </c>
      <c r="C196" s="2" t="s">
        <v>6854</v>
      </c>
      <c r="D196" s="2" t="s">
        <v>6855</v>
      </c>
      <c r="E196" s="3">
        <v>42619</v>
      </c>
      <c r="F196" s="2" t="s">
        <v>6856</v>
      </c>
      <c r="G196" s="2" t="s">
        <v>6857</v>
      </c>
      <c r="H196" s="2" t="s">
        <v>2425</v>
      </c>
      <c r="I196" s="2" t="s">
        <v>2461</v>
      </c>
      <c r="J196" s="3">
        <v>42679</v>
      </c>
      <c r="K196" s="2" t="str">
        <f>HYPERLINK("https://docs.wto.org/imrd/directdoc.asp?DDFDocuments/t/G/SPS/NARE77.DOC")</f>
        <v>https://docs.wto.org/imrd/directdoc.asp?DDFDocuments/t/G/SPS/NARE77.DOC</v>
      </c>
      <c r="L196" s="2" t="str">
        <f t="shared" si="23"/>
        <v>null</v>
      </c>
      <c r="M196" s="2" t="str">
        <f t="shared" si="23"/>
        <v>null</v>
      </c>
      <c r="N196" s="2" t="str">
        <f>HYPERLINK("http://www.epingalert.org/#/details/G/SPS/N/ARE/77#G/SPS/N/BHR/157#G/SPS/N/KWT/6#G/SPS/N/OMN/57#G/SPS/N/QAT/61#G/SPS/N/SAU/208#G/SPS/N/YEM/2")</f>
        <v>http://www.epingalert.org/#/details/G/SPS/N/ARE/77#G/SPS/N/BHR/157#G/SPS/N/KWT/6#G/SPS/N/OMN/57#G/SPS/N/QAT/61#G/SPS/N/SAU/208#G/SPS/N/YEM/2</v>
      </c>
      <c r="O196" s="2"/>
    </row>
    <row r="197" spans="1:15" ht="240" customHeight="1" outlineLevel="1" x14ac:dyDescent="0.25">
      <c r="A197" s="2" t="s">
        <v>184</v>
      </c>
      <c r="B197" s="2" t="s">
        <v>6858</v>
      </c>
      <c r="C197" s="2" t="s">
        <v>6859</v>
      </c>
      <c r="D197" s="2" t="s">
        <v>6860</v>
      </c>
      <c r="E197" s="3">
        <v>42619</v>
      </c>
      <c r="F197" s="2" t="s">
        <v>6861</v>
      </c>
      <c r="G197" s="2" t="s">
        <v>2381</v>
      </c>
      <c r="H197" s="2" t="s">
        <v>2425</v>
      </c>
      <c r="I197" s="2" t="s">
        <v>2461</v>
      </c>
      <c r="J197" s="3">
        <v>42679</v>
      </c>
      <c r="K197" s="2" t="str">
        <f>HYPERLINK("https://docs.wto.org/imrd/directdoc.asp?DDFDocuments/t/G/SPS/NARE78.DOC")</f>
        <v>https://docs.wto.org/imrd/directdoc.asp?DDFDocuments/t/G/SPS/NARE78.DOC</v>
      </c>
      <c r="L197" s="2" t="str">
        <f t="shared" si="23"/>
        <v>null</v>
      </c>
      <c r="M197" s="2" t="str">
        <f t="shared" si="23"/>
        <v>null</v>
      </c>
      <c r="N197" s="2" t="str">
        <f>HYPERLINK("http://www.epingalert.org/#/details/G/SPS/N/ARE/78#G/SPS/N/BHR/158#G/SPS/N/KWT/7#G/SPS/N/OMN/58#G/SPS/N/QAT/62#G/SPS/N/SAU/209#G/SPS/N/YEM/3")</f>
        <v>http://www.epingalert.org/#/details/G/SPS/N/ARE/78#G/SPS/N/BHR/158#G/SPS/N/KWT/7#G/SPS/N/OMN/58#G/SPS/N/QAT/62#G/SPS/N/SAU/209#G/SPS/N/YEM/3</v>
      </c>
      <c r="O197" s="2"/>
    </row>
    <row r="198" spans="1:15" ht="240" customHeight="1" outlineLevel="1" x14ac:dyDescent="0.25">
      <c r="A198" s="2" t="s">
        <v>180</v>
      </c>
      <c r="B198" s="2" t="s">
        <v>6848</v>
      </c>
      <c r="C198" s="2" t="s">
        <v>6849</v>
      </c>
      <c r="D198" s="2" t="s">
        <v>6850</v>
      </c>
      <c r="E198" s="3">
        <v>42619</v>
      </c>
      <c r="F198" s="2" t="s">
        <v>6862</v>
      </c>
      <c r="G198" s="2" t="s">
        <v>6852</v>
      </c>
      <c r="H198" s="2" t="s">
        <v>2425</v>
      </c>
      <c r="I198" s="2" t="s">
        <v>2461</v>
      </c>
      <c r="J198" s="3">
        <v>42679</v>
      </c>
      <c r="K198" s="2" t="str">
        <f>HYPERLINK("https://docs.wto.org/imrd/directdoc.asp?DDFDocuments/t/G/SPS/NARE76.DOC")</f>
        <v>https://docs.wto.org/imrd/directdoc.asp?DDFDocuments/t/G/SPS/NARE76.DOC</v>
      </c>
      <c r="L198" s="2" t="str">
        <f t="shared" si="23"/>
        <v>null</v>
      </c>
      <c r="M198" s="2" t="str">
        <f t="shared" si="23"/>
        <v>null</v>
      </c>
      <c r="N198" s="2" t="str">
        <f>HYPERLINK("http://www.epingalert.org/#/details/G/SPS/N/ARE/76#G/SPS/N/BHR/156#G/SPS/N/KWT/5#G/SPS/N/OMN/56#G/SPS/N/QAT/60#G/SPS/N/SAU/207#G/SPS/N/YEM/1")</f>
        <v>http://www.epingalert.org/#/details/G/SPS/N/ARE/76#G/SPS/N/BHR/156#G/SPS/N/KWT/5#G/SPS/N/OMN/56#G/SPS/N/QAT/60#G/SPS/N/SAU/207#G/SPS/N/YEM/1</v>
      </c>
      <c r="O198" s="2"/>
    </row>
    <row r="199" spans="1:15" ht="240" customHeight="1" outlineLevel="1" x14ac:dyDescent="0.25">
      <c r="A199" s="2" t="s">
        <v>184</v>
      </c>
      <c r="B199" s="2" t="s">
        <v>6843</v>
      </c>
      <c r="C199" s="2" t="s">
        <v>6844</v>
      </c>
      <c r="D199" s="2" t="s">
        <v>6845</v>
      </c>
      <c r="E199" s="3">
        <v>42619</v>
      </c>
      <c r="F199" s="2" t="s">
        <v>6846</v>
      </c>
      <c r="G199" s="2" t="s">
        <v>6847</v>
      </c>
      <c r="H199" s="2" t="s">
        <v>2425</v>
      </c>
      <c r="I199" s="2" t="s">
        <v>2461</v>
      </c>
      <c r="J199" s="3">
        <v>42679</v>
      </c>
      <c r="K199" s="2" t="str">
        <f>HYPERLINK("https://docs.wto.org/imrd/directdoc.asp?DDFDocuments/t/G/SPS/NARE79.DOC")</f>
        <v>https://docs.wto.org/imrd/directdoc.asp?DDFDocuments/t/G/SPS/NARE79.DOC</v>
      </c>
      <c r="L199" s="2" t="str">
        <f t="shared" si="23"/>
        <v>null</v>
      </c>
      <c r="M199" s="2" t="str">
        <f t="shared" si="23"/>
        <v>null</v>
      </c>
      <c r="N199" s="2" t="str">
        <f>HYPERLINK("http://www.epingalert.org/#/details/G/SPS/N/ARE/79#G/SPS/N/BHR/159#G/SPS/N/KWT/8#G/SPS/N/OMN/59#G/SPS/N/QAT/63#G/SPS/N/SAU/210#G/SPS/N/YEM/4")</f>
        <v>http://www.epingalert.org/#/details/G/SPS/N/ARE/79#G/SPS/N/BHR/159#G/SPS/N/KWT/8#G/SPS/N/OMN/59#G/SPS/N/QAT/63#G/SPS/N/SAU/210#G/SPS/N/YEM/4</v>
      </c>
      <c r="O199" s="2"/>
    </row>
    <row r="200" spans="1:15" ht="240" customHeight="1" outlineLevel="1" x14ac:dyDescent="0.25">
      <c r="A200" s="2" t="s">
        <v>144</v>
      </c>
      <c r="B200" s="2" t="s">
        <v>6848</v>
      </c>
      <c r="C200" s="2" t="s">
        <v>6849</v>
      </c>
      <c r="D200" s="2" t="s">
        <v>6850</v>
      </c>
      <c r="E200" s="3">
        <v>42619</v>
      </c>
      <c r="F200" s="2" t="s">
        <v>6862</v>
      </c>
      <c r="G200" s="2" t="s">
        <v>6852</v>
      </c>
      <c r="H200" s="2" t="s">
        <v>2425</v>
      </c>
      <c r="I200" s="2" t="s">
        <v>2461</v>
      </c>
      <c r="J200" s="3">
        <v>42679</v>
      </c>
      <c r="K200" s="2" t="str">
        <f>HYPERLINK("https://docs.wto.org/imrd/directdoc.asp?DDFDocuments/t/G/SPS/NARE76.DOC")</f>
        <v>https://docs.wto.org/imrd/directdoc.asp?DDFDocuments/t/G/SPS/NARE76.DOC</v>
      </c>
      <c r="L200" s="2" t="str">
        <f t="shared" si="23"/>
        <v>null</v>
      </c>
      <c r="M200" s="2" t="str">
        <f t="shared" si="23"/>
        <v>null</v>
      </c>
      <c r="N200" s="2" t="str">
        <f>HYPERLINK("http://www.epingalert.org/#/details/G/SPS/N/ARE/76#G/SPS/N/BHR/156#G/SPS/N/KWT/5#G/SPS/N/OMN/56#G/SPS/N/QAT/60#G/SPS/N/SAU/207#G/SPS/N/YEM/1")</f>
        <v>http://www.epingalert.org/#/details/G/SPS/N/ARE/76#G/SPS/N/BHR/156#G/SPS/N/KWT/5#G/SPS/N/OMN/56#G/SPS/N/QAT/60#G/SPS/N/SAU/207#G/SPS/N/YEM/1</v>
      </c>
      <c r="O200" s="2"/>
    </row>
    <row r="201" spans="1:15" ht="240" customHeight="1" outlineLevel="1" x14ac:dyDescent="0.25">
      <c r="A201" s="2" t="s">
        <v>179</v>
      </c>
      <c r="B201" s="2" t="s">
        <v>6848</v>
      </c>
      <c r="C201" s="2" t="s">
        <v>6849</v>
      </c>
      <c r="D201" s="2" t="s">
        <v>6850</v>
      </c>
      <c r="E201" s="3">
        <v>42619</v>
      </c>
      <c r="F201" s="2" t="s">
        <v>6862</v>
      </c>
      <c r="G201" s="2" t="s">
        <v>6852</v>
      </c>
      <c r="H201" s="2" t="s">
        <v>2425</v>
      </c>
      <c r="I201" s="2" t="s">
        <v>2461</v>
      </c>
      <c r="J201" s="3">
        <v>42679</v>
      </c>
      <c r="K201" s="2" t="str">
        <f>HYPERLINK("https://docs.wto.org/imrd/directdoc.asp?DDFDocuments/t/G/SPS/NARE76.DOC")</f>
        <v>https://docs.wto.org/imrd/directdoc.asp?DDFDocuments/t/G/SPS/NARE76.DOC</v>
      </c>
      <c r="L201" s="2" t="str">
        <f t="shared" si="23"/>
        <v>null</v>
      </c>
      <c r="M201" s="2" t="str">
        <f t="shared" si="23"/>
        <v>null</v>
      </c>
      <c r="N201" s="2" t="str">
        <f>HYPERLINK("http://www.epingalert.org/#/details/G/SPS/N/ARE/76#G/SPS/N/BHR/156#G/SPS/N/KWT/5#G/SPS/N/OMN/56#G/SPS/N/QAT/60#G/SPS/N/SAU/207#G/SPS/N/YEM/1")</f>
        <v>http://www.epingalert.org/#/details/G/SPS/N/ARE/76#G/SPS/N/BHR/156#G/SPS/N/KWT/5#G/SPS/N/OMN/56#G/SPS/N/QAT/60#G/SPS/N/SAU/207#G/SPS/N/YEM/1</v>
      </c>
      <c r="O201" s="2"/>
    </row>
    <row r="202" spans="1:15" ht="240" customHeight="1" outlineLevel="1" x14ac:dyDescent="0.25">
      <c r="A202" s="2" t="s">
        <v>178</v>
      </c>
      <c r="B202" s="2" t="s">
        <v>6853</v>
      </c>
      <c r="C202" s="2" t="s">
        <v>6854</v>
      </c>
      <c r="D202" s="2" t="s">
        <v>6855</v>
      </c>
      <c r="E202" s="3">
        <v>42619</v>
      </c>
      <c r="F202" s="2" t="s">
        <v>6856</v>
      </c>
      <c r="G202" s="2" t="s">
        <v>6857</v>
      </c>
      <c r="H202" s="2" t="s">
        <v>2425</v>
      </c>
      <c r="I202" s="2" t="s">
        <v>2461</v>
      </c>
      <c r="J202" s="3">
        <v>42679</v>
      </c>
      <c r="K202" s="2" t="str">
        <f>HYPERLINK("https://docs.wto.org/imrd/directdoc.asp?DDFDocuments/t/G/SPS/NARE77.DOC")</f>
        <v>https://docs.wto.org/imrd/directdoc.asp?DDFDocuments/t/G/SPS/NARE77.DOC</v>
      </c>
      <c r="L202" s="2" t="str">
        <f t="shared" si="23"/>
        <v>null</v>
      </c>
      <c r="M202" s="2" t="str">
        <f t="shared" si="23"/>
        <v>null</v>
      </c>
      <c r="N202" s="2" t="str">
        <f>HYPERLINK("http://www.epingalert.org/#/details/G/SPS/N/ARE/77#G/SPS/N/BHR/157#G/SPS/N/KWT/6#G/SPS/N/OMN/57#G/SPS/N/QAT/61#G/SPS/N/SAU/208#G/SPS/N/YEM/2")</f>
        <v>http://www.epingalert.org/#/details/G/SPS/N/ARE/77#G/SPS/N/BHR/157#G/SPS/N/KWT/6#G/SPS/N/OMN/57#G/SPS/N/QAT/61#G/SPS/N/SAU/208#G/SPS/N/YEM/2</v>
      </c>
      <c r="O202" s="2"/>
    </row>
    <row r="203" spans="1:15" ht="240" customHeight="1" outlineLevel="1" x14ac:dyDescent="0.25">
      <c r="A203" s="2" t="s">
        <v>173</v>
      </c>
      <c r="B203" s="2" t="s">
        <v>6858</v>
      </c>
      <c r="C203" s="2" t="s">
        <v>6859</v>
      </c>
      <c r="D203" s="2" t="s">
        <v>6860</v>
      </c>
      <c r="E203" s="3">
        <v>42619</v>
      </c>
      <c r="F203" s="2" t="s">
        <v>6861</v>
      </c>
      <c r="G203" s="2" t="s">
        <v>2381</v>
      </c>
      <c r="H203" s="2" t="s">
        <v>2425</v>
      </c>
      <c r="I203" s="2" t="s">
        <v>2461</v>
      </c>
      <c r="J203" s="3">
        <v>42679</v>
      </c>
      <c r="K203" s="2" t="str">
        <f>HYPERLINK("https://docs.wto.org/imrd/directdoc.asp?DDFDocuments/t/G/SPS/NARE78.DOC")</f>
        <v>https://docs.wto.org/imrd/directdoc.asp?DDFDocuments/t/G/SPS/NARE78.DOC</v>
      </c>
      <c r="L203" s="2" t="str">
        <f>HYPERLINK("https://docs.wto.org/imrd/directdoc.asp?DDFDocuments/u/G/SPS/NARE78.DOC")</f>
        <v>https://docs.wto.org/imrd/directdoc.asp?DDFDocuments/u/G/SPS/NARE78.DOC</v>
      </c>
      <c r="M203" s="2" t="str">
        <f>HYPERLINK("https://docs.wto.org/imrd/directdoc.asp?DDFDocuments/v/G/SPS/NARE78.DOC")</f>
        <v>https://docs.wto.org/imrd/directdoc.asp?DDFDocuments/v/G/SPS/NARE78.DOC</v>
      </c>
      <c r="N203" s="2" t="str">
        <f>HYPERLINK("http://www.epingalert.org/#/details/G/SPS/N/ARE/78#G/SPS/N/BHR/158#G/SPS/N/KWT/7#G/SPS/N/OMN/58#G/SPS/N/QAT/62#G/SPS/N/SAU/209#G/SPS/N/YEM/3")</f>
        <v>http://www.epingalert.org/#/details/G/SPS/N/ARE/78#G/SPS/N/BHR/158#G/SPS/N/KWT/7#G/SPS/N/OMN/58#G/SPS/N/QAT/62#G/SPS/N/SAU/209#G/SPS/N/YEM/3</v>
      </c>
      <c r="O203" s="2"/>
    </row>
    <row r="204" spans="1:15" ht="240" customHeight="1" outlineLevel="1" x14ac:dyDescent="0.25">
      <c r="A204" s="2" t="s">
        <v>179</v>
      </c>
      <c r="B204" s="2" t="s">
        <v>6858</v>
      </c>
      <c r="C204" s="2" t="s">
        <v>6859</v>
      </c>
      <c r="D204" s="2" t="s">
        <v>6860</v>
      </c>
      <c r="E204" s="3">
        <v>42619</v>
      </c>
      <c r="F204" s="2" t="s">
        <v>6861</v>
      </c>
      <c r="G204" s="2" t="s">
        <v>2381</v>
      </c>
      <c r="H204" s="2" t="s">
        <v>2425</v>
      </c>
      <c r="I204" s="2" t="s">
        <v>2461</v>
      </c>
      <c r="J204" s="3">
        <v>42679</v>
      </c>
      <c r="K204" s="2" t="str">
        <f>HYPERLINK("https://docs.wto.org/imrd/directdoc.asp?DDFDocuments/t/G/SPS/NARE78.DOC")</f>
        <v>https://docs.wto.org/imrd/directdoc.asp?DDFDocuments/t/G/SPS/NARE78.DOC</v>
      </c>
      <c r="L204" s="2" t="str">
        <f t="shared" ref="L204:M213" si="24">HYPERLINK("null")</f>
        <v>null</v>
      </c>
      <c r="M204" s="2" t="str">
        <f t="shared" si="24"/>
        <v>null</v>
      </c>
      <c r="N204" s="2" t="str">
        <f>HYPERLINK("http://www.epingalert.org/#/details/G/SPS/N/ARE/78#G/SPS/N/BHR/158#G/SPS/N/KWT/7#G/SPS/N/OMN/58#G/SPS/N/QAT/62#G/SPS/N/SAU/209#G/SPS/N/YEM/3")</f>
        <v>http://www.epingalert.org/#/details/G/SPS/N/ARE/78#G/SPS/N/BHR/158#G/SPS/N/KWT/7#G/SPS/N/OMN/58#G/SPS/N/QAT/62#G/SPS/N/SAU/209#G/SPS/N/YEM/3</v>
      </c>
      <c r="O204" s="2"/>
    </row>
    <row r="205" spans="1:15" ht="240" customHeight="1" outlineLevel="1" x14ac:dyDescent="0.25">
      <c r="A205" s="2" t="s">
        <v>179</v>
      </c>
      <c r="B205" s="2" t="s">
        <v>6843</v>
      </c>
      <c r="C205" s="2" t="s">
        <v>6844</v>
      </c>
      <c r="D205" s="2" t="s">
        <v>6845</v>
      </c>
      <c r="E205" s="3">
        <v>42619</v>
      </c>
      <c r="F205" s="2" t="s">
        <v>6846</v>
      </c>
      <c r="G205" s="2" t="s">
        <v>6847</v>
      </c>
      <c r="H205" s="2" t="s">
        <v>2425</v>
      </c>
      <c r="I205" s="2" t="s">
        <v>2461</v>
      </c>
      <c r="J205" s="3">
        <v>42679</v>
      </c>
      <c r="K205" s="2" t="str">
        <f>HYPERLINK("https://docs.wto.org/imrd/directdoc.asp?DDFDocuments/t/G/SPS/NARE79.DOC")</f>
        <v>https://docs.wto.org/imrd/directdoc.asp?DDFDocuments/t/G/SPS/NARE79.DOC</v>
      </c>
      <c r="L205" s="2" t="str">
        <f t="shared" si="24"/>
        <v>null</v>
      </c>
      <c r="M205" s="2" t="str">
        <f t="shared" si="24"/>
        <v>null</v>
      </c>
      <c r="N205" s="2" t="str">
        <f>HYPERLINK("http://www.epingalert.org/#/details/G/SPS/N/ARE/79#G/SPS/N/BHR/159#G/SPS/N/KWT/8#G/SPS/N/OMN/59#G/SPS/N/QAT/63#G/SPS/N/SAU/210#G/SPS/N/YEM/4")</f>
        <v>http://www.epingalert.org/#/details/G/SPS/N/ARE/79#G/SPS/N/BHR/159#G/SPS/N/KWT/8#G/SPS/N/OMN/59#G/SPS/N/QAT/63#G/SPS/N/SAU/210#G/SPS/N/YEM/4</v>
      </c>
      <c r="O205" s="2"/>
    </row>
    <row r="206" spans="1:15" ht="240" customHeight="1" outlineLevel="1" x14ac:dyDescent="0.25">
      <c r="A206" s="2" t="s">
        <v>178</v>
      </c>
      <c r="B206" s="2" t="s">
        <v>6858</v>
      </c>
      <c r="C206" s="2" t="s">
        <v>6859</v>
      </c>
      <c r="D206" s="2" t="s">
        <v>6860</v>
      </c>
      <c r="E206" s="3">
        <v>42619</v>
      </c>
      <c r="F206" s="2" t="s">
        <v>6861</v>
      </c>
      <c r="G206" s="2" t="s">
        <v>2381</v>
      </c>
      <c r="H206" s="2" t="s">
        <v>2425</v>
      </c>
      <c r="I206" s="2" t="s">
        <v>2461</v>
      </c>
      <c r="J206" s="3">
        <v>42679</v>
      </c>
      <c r="K206" s="2" t="str">
        <f>HYPERLINK("https://docs.wto.org/imrd/directdoc.asp?DDFDocuments/t/G/SPS/NARE78.DOC")</f>
        <v>https://docs.wto.org/imrd/directdoc.asp?DDFDocuments/t/G/SPS/NARE78.DOC</v>
      </c>
      <c r="L206" s="2" t="str">
        <f t="shared" si="24"/>
        <v>null</v>
      </c>
      <c r="M206" s="2" t="str">
        <f t="shared" si="24"/>
        <v>null</v>
      </c>
      <c r="N206" s="2" t="str">
        <f>HYPERLINK("http://www.epingalert.org/#/details/G/SPS/N/ARE/78#G/SPS/N/BHR/158#G/SPS/N/KWT/7#G/SPS/N/OMN/58#G/SPS/N/QAT/62#G/SPS/N/SAU/209#G/SPS/N/YEM/3")</f>
        <v>http://www.epingalert.org/#/details/G/SPS/N/ARE/78#G/SPS/N/BHR/158#G/SPS/N/KWT/7#G/SPS/N/OMN/58#G/SPS/N/QAT/62#G/SPS/N/SAU/209#G/SPS/N/YEM/3</v>
      </c>
      <c r="O206" s="2"/>
    </row>
    <row r="207" spans="1:15" ht="240" customHeight="1" outlineLevel="1" x14ac:dyDescent="0.25">
      <c r="A207" s="2" t="s">
        <v>184</v>
      </c>
      <c r="B207" s="2" t="s">
        <v>6848</v>
      </c>
      <c r="C207" s="2" t="s">
        <v>6849</v>
      </c>
      <c r="D207" s="2" t="s">
        <v>6850</v>
      </c>
      <c r="E207" s="3">
        <v>42619</v>
      </c>
      <c r="F207" s="2" t="s">
        <v>6862</v>
      </c>
      <c r="G207" s="2" t="s">
        <v>6852</v>
      </c>
      <c r="H207" s="2" t="s">
        <v>2425</v>
      </c>
      <c r="I207" s="2" t="s">
        <v>2461</v>
      </c>
      <c r="J207" s="3">
        <v>42679</v>
      </c>
      <c r="K207" s="2" t="str">
        <f>HYPERLINK("https://docs.wto.org/imrd/directdoc.asp?DDFDocuments/t/G/SPS/NARE76.DOC")</f>
        <v>https://docs.wto.org/imrd/directdoc.asp?DDFDocuments/t/G/SPS/NARE76.DOC</v>
      </c>
      <c r="L207" s="2" t="str">
        <f t="shared" si="24"/>
        <v>null</v>
      </c>
      <c r="M207" s="2" t="str">
        <f t="shared" si="24"/>
        <v>null</v>
      </c>
      <c r="N207" s="2" t="str">
        <f>HYPERLINK("http://www.epingalert.org/#/details/G/SPS/N/ARE/76#G/SPS/N/BHR/156#G/SPS/N/KWT/5#G/SPS/N/OMN/56#G/SPS/N/QAT/60#G/SPS/N/SAU/207#G/SPS/N/YEM/1")</f>
        <v>http://www.epingalert.org/#/details/G/SPS/N/ARE/76#G/SPS/N/BHR/156#G/SPS/N/KWT/5#G/SPS/N/OMN/56#G/SPS/N/QAT/60#G/SPS/N/SAU/207#G/SPS/N/YEM/1</v>
      </c>
      <c r="O207" s="2"/>
    </row>
    <row r="208" spans="1:15" ht="240" customHeight="1" outlineLevel="1" x14ac:dyDescent="0.25">
      <c r="A208" s="2" t="s">
        <v>181</v>
      </c>
      <c r="B208" s="2" t="s">
        <v>6853</v>
      </c>
      <c r="C208" s="2" t="s">
        <v>6854</v>
      </c>
      <c r="D208" s="2" t="s">
        <v>6855</v>
      </c>
      <c r="E208" s="3">
        <v>42619</v>
      </c>
      <c r="F208" s="2" t="s">
        <v>6856</v>
      </c>
      <c r="G208" s="2" t="s">
        <v>6857</v>
      </c>
      <c r="H208" s="2" t="s">
        <v>2425</v>
      </c>
      <c r="I208" s="2" t="s">
        <v>2461</v>
      </c>
      <c r="J208" s="3">
        <v>42679</v>
      </c>
      <c r="K208" s="2" t="str">
        <f>HYPERLINK("https://docs.wto.org/imrd/directdoc.asp?DDFDocuments/t/G/SPS/NARE77.DOC")</f>
        <v>https://docs.wto.org/imrd/directdoc.asp?DDFDocuments/t/G/SPS/NARE77.DOC</v>
      </c>
      <c r="L208" s="2" t="str">
        <f t="shared" si="24"/>
        <v>null</v>
      </c>
      <c r="M208" s="2" t="str">
        <f t="shared" si="24"/>
        <v>null</v>
      </c>
      <c r="N208" s="2" t="str">
        <f>HYPERLINK("http://www.epingalert.org/#/details/G/SPS/N/ARE/77#G/SPS/N/BHR/157#G/SPS/N/KWT/6#G/SPS/N/OMN/57#G/SPS/N/QAT/61#G/SPS/N/SAU/208#G/SPS/N/YEM/2")</f>
        <v>http://www.epingalert.org/#/details/G/SPS/N/ARE/77#G/SPS/N/BHR/157#G/SPS/N/KWT/6#G/SPS/N/OMN/57#G/SPS/N/QAT/61#G/SPS/N/SAU/208#G/SPS/N/YEM/2</v>
      </c>
      <c r="O208" s="2"/>
    </row>
    <row r="209" spans="1:15" ht="240" customHeight="1" outlineLevel="1" x14ac:dyDescent="0.25">
      <c r="A209" s="2" t="s">
        <v>180</v>
      </c>
      <c r="B209" s="2" t="s">
        <v>6853</v>
      </c>
      <c r="C209" s="2" t="s">
        <v>6854</v>
      </c>
      <c r="D209" s="2" t="s">
        <v>6855</v>
      </c>
      <c r="E209" s="3">
        <v>42619</v>
      </c>
      <c r="F209" s="2" t="s">
        <v>6856</v>
      </c>
      <c r="G209" s="2" t="s">
        <v>6857</v>
      </c>
      <c r="H209" s="2" t="s">
        <v>2425</v>
      </c>
      <c r="I209" s="2" t="s">
        <v>2461</v>
      </c>
      <c r="J209" s="3">
        <v>42679</v>
      </c>
      <c r="K209" s="2" t="str">
        <f>HYPERLINK("https://docs.wto.org/imrd/directdoc.asp?DDFDocuments/t/G/SPS/NARE77.DOC")</f>
        <v>https://docs.wto.org/imrd/directdoc.asp?DDFDocuments/t/G/SPS/NARE77.DOC</v>
      </c>
      <c r="L209" s="2" t="str">
        <f t="shared" si="24"/>
        <v>null</v>
      </c>
      <c r="M209" s="2" t="str">
        <f t="shared" si="24"/>
        <v>null</v>
      </c>
      <c r="N209" s="2" t="str">
        <f>HYPERLINK("http://www.epingalert.org/#/details/G/SPS/N/ARE/77#G/SPS/N/BHR/157#G/SPS/N/KWT/6#G/SPS/N/OMN/57#G/SPS/N/QAT/61#G/SPS/N/SAU/208#G/SPS/N/YEM/2")</f>
        <v>http://www.epingalert.org/#/details/G/SPS/N/ARE/77#G/SPS/N/BHR/157#G/SPS/N/KWT/6#G/SPS/N/OMN/57#G/SPS/N/QAT/61#G/SPS/N/SAU/208#G/SPS/N/YEM/2</v>
      </c>
      <c r="O209" s="2"/>
    </row>
    <row r="210" spans="1:15" ht="240" customHeight="1" outlineLevel="1" x14ac:dyDescent="0.25">
      <c r="A210" s="2" t="s">
        <v>184</v>
      </c>
      <c r="B210" s="2" t="s">
        <v>6853</v>
      </c>
      <c r="C210" s="2" t="s">
        <v>6854</v>
      </c>
      <c r="D210" s="2" t="s">
        <v>6855</v>
      </c>
      <c r="E210" s="3">
        <v>42619</v>
      </c>
      <c r="F210" s="2" t="s">
        <v>6856</v>
      </c>
      <c r="G210" s="2" t="s">
        <v>6857</v>
      </c>
      <c r="H210" s="2" t="s">
        <v>2425</v>
      </c>
      <c r="I210" s="2" t="s">
        <v>2461</v>
      </c>
      <c r="J210" s="3">
        <v>42679</v>
      </c>
      <c r="K210" s="2" t="str">
        <f>HYPERLINK("https://docs.wto.org/imrd/directdoc.asp?DDFDocuments/t/G/SPS/NARE77.DOC")</f>
        <v>https://docs.wto.org/imrd/directdoc.asp?DDFDocuments/t/G/SPS/NARE77.DOC</v>
      </c>
      <c r="L210" s="2" t="str">
        <f t="shared" si="24"/>
        <v>null</v>
      </c>
      <c r="M210" s="2" t="str">
        <f t="shared" si="24"/>
        <v>null</v>
      </c>
      <c r="N210" s="2" t="str">
        <f>HYPERLINK("http://www.epingalert.org/#/details/G/SPS/N/ARE/77#G/SPS/N/BHR/157#G/SPS/N/KWT/6#G/SPS/N/OMN/57#G/SPS/N/QAT/61#G/SPS/N/SAU/208#G/SPS/N/YEM/2")</f>
        <v>http://www.epingalert.org/#/details/G/SPS/N/ARE/77#G/SPS/N/BHR/157#G/SPS/N/KWT/6#G/SPS/N/OMN/57#G/SPS/N/QAT/61#G/SPS/N/SAU/208#G/SPS/N/YEM/2</v>
      </c>
      <c r="O210" s="2"/>
    </row>
    <row r="211" spans="1:15" ht="240" customHeight="1" outlineLevel="1" x14ac:dyDescent="0.25">
      <c r="A211" s="2" t="s">
        <v>180</v>
      </c>
      <c r="B211" s="2" t="s">
        <v>6858</v>
      </c>
      <c r="C211" s="2" t="s">
        <v>6859</v>
      </c>
      <c r="D211" s="2" t="s">
        <v>6860</v>
      </c>
      <c r="E211" s="3">
        <v>42619</v>
      </c>
      <c r="F211" s="2" t="s">
        <v>6861</v>
      </c>
      <c r="G211" s="2" t="s">
        <v>2381</v>
      </c>
      <c r="H211" s="2" t="s">
        <v>2425</v>
      </c>
      <c r="I211" s="2" t="s">
        <v>2461</v>
      </c>
      <c r="J211" s="3">
        <v>42679</v>
      </c>
      <c r="K211" s="2" t="str">
        <f>HYPERLINK("https://docs.wto.org/imrd/directdoc.asp?DDFDocuments/t/G/SPS/NARE78.DOC")</f>
        <v>https://docs.wto.org/imrd/directdoc.asp?DDFDocuments/t/G/SPS/NARE78.DOC</v>
      </c>
      <c r="L211" s="2" t="str">
        <f t="shared" si="24"/>
        <v>null</v>
      </c>
      <c r="M211" s="2" t="str">
        <f t="shared" si="24"/>
        <v>null</v>
      </c>
      <c r="N211" s="2" t="str">
        <f>HYPERLINK("http://www.epingalert.org/#/details/G/SPS/N/ARE/78#G/SPS/N/BHR/158#G/SPS/N/KWT/7#G/SPS/N/OMN/58#G/SPS/N/QAT/62#G/SPS/N/SAU/209#G/SPS/N/YEM/3")</f>
        <v>http://www.epingalert.org/#/details/G/SPS/N/ARE/78#G/SPS/N/BHR/158#G/SPS/N/KWT/7#G/SPS/N/OMN/58#G/SPS/N/QAT/62#G/SPS/N/SAU/209#G/SPS/N/YEM/3</v>
      </c>
      <c r="O211" s="2"/>
    </row>
    <row r="212" spans="1:15" ht="240" customHeight="1" outlineLevel="1" x14ac:dyDescent="0.25">
      <c r="A212" s="2" t="s">
        <v>178</v>
      </c>
      <c r="B212" s="2" t="s">
        <v>6843</v>
      </c>
      <c r="C212" s="2" t="s">
        <v>6844</v>
      </c>
      <c r="D212" s="2" t="s">
        <v>6845</v>
      </c>
      <c r="E212" s="3">
        <v>42619</v>
      </c>
      <c r="F212" s="2" t="s">
        <v>6846</v>
      </c>
      <c r="G212" s="2" t="s">
        <v>6847</v>
      </c>
      <c r="H212" s="2" t="s">
        <v>2425</v>
      </c>
      <c r="I212" s="2" t="s">
        <v>2461</v>
      </c>
      <c r="J212" s="3">
        <v>42679</v>
      </c>
      <c r="K212" s="2" t="str">
        <f>HYPERLINK("https://docs.wto.org/imrd/directdoc.asp?DDFDocuments/t/G/SPS/NARE79.DOC")</f>
        <v>https://docs.wto.org/imrd/directdoc.asp?DDFDocuments/t/G/SPS/NARE79.DOC</v>
      </c>
      <c r="L212" s="2" t="str">
        <f t="shared" si="24"/>
        <v>null</v>
      </c>
      <c r="M212" s="2" t="str">
        <f t="shared" si="24"/>
        <v>null</v>
      </c>
      <c r="N212" s="2" t="str">
        <f>HYPERLINK("http://www.epingalert.org/#/details/G/SPS/N/ARE/79#G/SPS/N/BHR/159#G/SPS/N/KWT/8#G/SPS/N/OMN/59#G/SPS/N/QAT/63#G/SPS/N/SAU/210#G/SPS/N/YEM/4")</f>
        <v>http://www.epingalert.org/#/details/G/SPS/N/ARE/79#G/SPS/N/BHR/159#G/SPS/N/KWT/8#G/SPS/N/OMN/59#G/SPS/N/QAT/63#G/SPS/N/SAU/210#G/SPS/N/YEM/4</v>
      </c>
      <c r="O212" s="2"/>
    </row>
    <row r="213" spans="1:15" ht="240" customHeight="1" outlineLevel="1" x14ac:dyDescent="0.25">
      <c r="A213" s="2" t="s">
        <v>144</v>
      </c>
      <c r="B213" s="2" t="s">
        <v>6853</v>
      </c>
      <c r="C213" s="2" t="s">
        <v>6854</v>
      </c>
      <c r="D213" s="2" t="s">
        <v>6855</v>
      </c>
      <c r="E213" s="3">
        <v>42619</v>
      </c>
      <c r="F213" s="2" t="s">
        <v>6856</v>
      </c>
      <c r="G213" s="2" t="s">
        <v>6857</v>
      </c>
      <c r="H213" s="2" t="s">
        <v>2425</v>
      </c>
      <c r="I213" s="2" t="s">
        <v>2461</v>
      </c>
      <c r="J213" s="3">
        <v>42679</v>
      </c>
      <c r="K213" s="2" t="str">
        <f>HYPERLINK("https://docs.wto.org/imrd/directdoc.asp?DDFDocuments/t/G/SPS/NARE77.DOC")</f>
        <v>https://docs.wto.org/imrd/directdoc.asp?DDFDocuments/t/G/SPS/NARE77.DOC</v>
      </c>
      <c r="L213" s="2" t="str">
        <f t="shared" si="24"/>
        <v>null</v>
      </c>
      <c r="M213" s="2" t="str">
        <f t="shared" si="24"/>
        <v>null</v>
      </c>
      <c r="N213" s="2" t="str">
        <f>HYPERLINK("http://www.epingalert.org/#/details/G/SPS/N/ARE/77#G/SPS/N/BHR/157#G/SPS/N/KWT/6#G/SPS/N/OMN/57#G/SPS/N/QAT/61#G/SPS/N/SAU/208#G/SPS/N/YEM/2")</f>
        <v>http://www.epingalert.org/#/details/G/SPS/N/ARE/77#G/SPS/N/BHR/157#G/SPS/N/KWT/6#G/SPS/N/OMN/57#G/SPS/N/QAT/61#G/SPS/N/SAU/208#G/SPS/N/YEM/2</v>
      </c>
      <c r="O213" s="2"/>
    </row>
    <row r="214" spans="1:15" ht="240" customHeight="1" outlineLevel="1" x14ac:dyDescent="0.25">
      <c r="A214" s="2" t="s">
        <v>173</v>
      </c>
      <c r="B214" s="2" t="s">
        <v>6843</v>
      </c>
      <c r="C214" s="2" t="s">
        <v>6844</v>
      </c>
      <c r="D214" s="2" t="s">
        <v>6845</v>
      </c>
      <c r="E214" s="3">
        <v>42619</v>
      </c>
      <c r="F214" s="2" t="s">
        <v>6846</v>
      </c>
      <c r="G214" s="2" t="s">
        <v>6847</v>
      </c>
      <c r="H214" s="2" t="s">
        <v>2425</v>
      </c>
      <c r="I214" s="2" t="s">
        <v>2461</v>
      </c>
      <c r="J214" s="3">
        <v>42679</v>
      </c>
      <c r="K214" s="2" t="str">
        <f>HYPERLINK("https://docs.wto.org/imrd/directdoc.asp?DDFDocuments/t/G/SPS/NARE79.DOC")</f>
        <v>https://docs.wto.org/imrd/directdoc.asp?DDFDocuments/t/G/SPS/NARE79.DOC</v>
      </c>
      <c r="L214" s="2" t="str">
        <f>HYPERLINK("https://docs.wto.org/imrd/directdoc.asp?DDFDocuments/u/G/SPS/NARE79.DOC")</f>
        <v>https://docs.wto.org/imrd/directdoc.asp?DDFDocuments/u/G/SPS/NARE79.DOC</v>
      </c>
      <c r="M214" s="2" t="str">
        <f>HYPERLINK("https://docs.wto.org/imrd/directdoc.asp?DDFDocuments/v/G/SPS/NARE79.DOC")</f>
        <v>https://docs.wto.org/imrd/directdoc.asp?DDFDocuments/v/G/SPS/NARE79.DOC</v>
      </c>
      <c r="N214" s="2" t="str">
        <f>HYPERLINK("http://www.epingalert.org/#/details/G/SPS/N/ARE/79#G/SPS/N/BHR/159#G/SPS/N/KWT/8#G/SPS/N/OMN/59#G/SPS/N/QAT/63#G/SPS/N/SAU/210#G/SPS/N/YEM/4")</f>
        <v>http://www.epingalert.org/#/details/G/SPS/N/ARE/79#G/SPS/N/BHR/159#G/SPS/N/KWT/8#G/SPS/N/OMN/59#G/SPS/N/QAT/63#G/SPS/N/SAU/210#G/SPS/N/YEM/4</v>
      </c>
      <c r="O214" s="2"/>
    </row>
    <row r="215" spans="1:15" ht="240" customHeight="1" outlineLevel="1" x14ac:dyDescent="0.25">
      <c r="A215" s="2" t="s">
        <v>181</v>
      </c>
      <c r="B215" s="2" t="s">
        <v>6848</v>
      </c>
      <c r="C215" s="2" t="s">
        <v>6849</v>
      </c>
      <c r="D215" s="2" t="s">
        <v>6850</v>
      </c>
      <c r="E215" s="3">
        <v>42619</v>
      </c>
      <c r="F215" s="2" t="s">
        <v>6862</v>
      </c>
      <c r="G215" s="2" t="s">
        <v>6852</v>
      </c>
      <c r="H215" s="2" t="s">
        <v>2425</v>
      </c>
      <c r="I215" s="2" t="s">
        <v>2461</v>
      </c>
      <c r="J215" s="3">
        <v>42679</v>
      </c>
      <c r="K215" s="2" t="str">
        <f>HYPERLINK("https://docs.wto.org/imrd/directdoc.asp?DDFDocuments/t/G/SPS/NARE76.DOC")</f>
        <v>https://docs.wto.org/imrd/directdoc.asp?DDFDocuments/t/G/SPS/NARE76.DOC</v>
      </c>
      <c r="L215" s="2" t="str">
        <f>HYPERLINK("null")</f>
        <v>null</v>
      </c>
      <c r="M215" s="2" t="str">
        <f>HYPERLINK("null")</f>
        <v>null</v>
      </c>
      <c r="N215" s="2" t="str">
        <f>HYPERLINK("http://www.epingalert.org/#/details/G/SPS/N/ARE/76#G/SPS/N/BHR/156#G/SPS/N/KWT/5#G/SPS/N/OMN/56#G/SPS/N/QAT/60#G/SPS/N/SAU/207#G/SPS/N/YEM/1")</f>
        <v>http://www.epingalert.org/#/details/G/SPS/N/ARE/76#G/SPS/N/BHR/156#G/SPS/N/KWT/5#G/SPS/N/OMN/56#G/SPS/N/QAT/60#G/SPS/N/SAU/207#G/SPS/N/YEM/1</v>
      </c>
      <c r="O215" s="2"/>
    </row>
    <row r="216" spans="1:15" ht="240" customHeight="1" outlineLevel="1" x14ac:dyDescent="0.25">
      <c r="A216" s="2" t="s">
        <v>144</v>
      </c>
      <c r="B216" s="2" t="s">
        <v>6858</v>
      </c>
      <c r="C216" s="2" t="s">
        <v>6859</v>
      </c>
      <c r="D216" s="2" t="s">
        <v>6860</v>
      </c>
      <c r="E216" s="3">
        <v>42619</v>
      </c>
      <c r="F216" s="2" t="s">
        <v>6861</v>
      </c>
      <c r="G216" s="2" t="s">
        <v>2381</v>
      </c>
      <c r="H216" s="2" t="s">
        <v>2425</v>
      </c>
      <c r="I216" s="2" t="s">
        <v>2461</v>
      </c>
      <c r="J216" s="3">
        <v>42679</v>
      </c>
      <c r="K216" s="2" t="str">
        <f>HYPERLINK("https://docs.wto.org/imrd/directdoc.asp?DDFDocuments/t/G/SPS/NARE78.DOC")</f>
        <v>https://docs.wto.org/imrd/directdoc.asp?DDFDocuments/t/G/SPS/NARE78.DOC</v>
      </c>
      <c r="L216" s="2" t="str">
        <f>HYPERLINK("null")</f>
        <v>null</v>
      </c>
      <c r="M216" s="2" t="str">
        <f>HYPERLINK("null")</f>
        <v>null</v>
      </c>
      <c r="N216" s="2" t="str">
        <f>HYPERLINK("http://www.epingalert.org/#/details/G/SPS/N/ARE/78#G/SPS/N/BHR/158#G/SPS/N/KWT/7#G/SPS/N/OMN/58#G/SPS/N/QAT/62#G/SPS/N/SAU/209#G/SPS/N/YEM/3")</f>
        <v>http://www.epingalert.org/#/details/G/SPS/N/ARE/78#G/SPS/N/BHR/158#G/SPS/N/KWT/7#G/SPS/N/OMN/58#G/SPS/N/QAT/62#G/SPS/N/SAU/209#G/SPS/N/YEM/3</v>
      </c>
      <c r="O216" s="2"/>
    </row>
    <row r="217" spans="1:15" ht="240" customHeight="1" outlineLevel="1" x14ac:dyDescent="0.25">
      <c r="A217" s="2" t="s">
        <v>173</v>
      </c>
      <c r="B217" s="2" t="s">
        <v>6848</v>
      </c>
      <c r="C217" s="2" t="s">
        <v>6849</v>
      </c>
      <c r="D217" s="2" t="s">
        <v>6850</v>
      </c>
      <c r="E217" s="3">
        <v>42619</v>
      </c>
      <c r="F217" s="2" t="s">
        <v>6862</v>
      </c>
      <c r="G217" s="2" t="s">
        <v>6852</v>
      </c>
      <c r="H217" s="2" t="s">
        <v>2425</v>
      </c>
      <c r="I217" s="2" t="s">
        <v>2461</v>
      </c>
      <c r="J217" s="3">
        <v>42679</v>
      </c>
      <c r="K217" s="2" t="str">
        <f>HYPERLINK("https://docs.wto.org/imrd/directdoc.asp?DDFDocuments/t/G/SPS/NARE76.DOC")</f>
        <v>https://docs.wto.org/imrd/directdoc.asp?DDFDocuments/t/G/SPS/NARE76.DOC</v>
      </c>
      <c r="L217" s="2" t="str">
        <f>HYPERLINK("https://docs.wto.org/imrd/directdoc.asp?DDFDocuments/u/G/SPS/NARE76.DOC")</f>
        <v>https://docs.wto.org/imrd/directdoc.asp?DDFDocuments/u/G/SPS/NARE76.DOC</v>
      </c>
      <c r="M217" s="2" t="str">
        <f>HYPERLINK("https://docs.wto.org/imrd/directdoc.asp?DDFDocuments/v/G/SPS/NARE76.DOC")</f>
        <v>https://docs.wto.org/imrd/directdoc.asp?DDFDocuments/v/G/SPS/NARE76.DOC</v>
      </c>
      <c r="N217" s="2" t="str">
        <f>HYPERLINK("http://www.epingalert.org/#/details/G/SPS/N/ARE/76#G/SPS/N/BHR/156#G/SPS/N/KWT/5#G/SPS/N/OMN/56#G/SPS/N/QAT/60#G/SPS/N/SAU/207#G/SPS/N/YEM/1")</f>
        <v>http://www.epingalert.org/#/details/G/SPS/N/ARE/76#G/SPS/N/BHR/156#G/SPS/N/KWT/5#G/SPS/N/OMN/56#G/SPS/N/QAT/60#G/SPS/N/SAU/207#G/SPS/N/YEM/1</v>
      </c>
      <c r="O217" s="2"/>
    </row>
    <row r="218" spans="1:15" ht="240" customHeight="1" outlineLevel="1" x14ac:dyDescent="0.25">
      <c r="A218" s="2" t="s">
        <v>144</v>
      </c>
      <c r="B218" s="2" t="s">
        <v>6843</v>
      </c>
      <c r="C218" s="2" t="s">
        <v>6844</v>
      </c>
      <c r="D218" s="2" t="s">
        <v>6845</v>
      </c>
      <c r="E218" s="3">
        <v>42619</v>
      </c>
      <c r="F218" s="2" t="s">
        <v>6846</v>
      </c>
      <c r="G218" s="2" t="s">
        <v>6847</v>
      </c>
      <c r="H218" s="2" t="s">
        <v>2425</v>
      </c>
      <c r="I218" s="2" t="s">
        <v>2461</v>
      </c>
      <c r="J218" s="3">
        <v>42679</v>
      </c>
      <c r="K218" s="2" t="str">
        <f>HYPERLINK("https://docs.wto.org/imrd/directdoc.asp?DDFDocuments/t/G/SPS/NARE79.DOC")</f>
        <v>https://docs.wto.org/imrd/directdoc.asp?DDFDocuments/t/G/SPS/NARE79.DOC</v>
      </c>
      <c r="L218" s="2" t="str">
        <f>HYPERLINK("null")</f>
        <v>null</v>
      </c>
      <c r="M218" s="2" t="str">
        <f>HYPERLINK("null")</f>
        <v>null</v>
      </c>
      <c r="N218" s="2" t="str">
        <f>HYPERLINK("http://www.epingalert.org/#/details/G/SPS/N/ARE/79#G/SPS/N/BHR/159#G/SPS/N/KWT/8#G/SPS/N/OMN/59#G/SPS/N/QAT/63#G/SPS/N/SAU/210#G/SPS/N/YEM/4")</f>
        <v>http://www.epingalert.org/#/details/G/SPS/N/ARE/79#G/SPS/N/BHR/159#G/SPS/N/KWT/8#G/SPS/N/OMN/59#G/SPS/N/QAT/63#G/SPS/N/SAU/210#G/SPS/N/YEM/4</v>
      </c>
      <c r="O218" s="2"/>
    </row>
    <row r="219" spans="1:15" ht="240" customHeight="1" outlineLevel="1" x14ac:dyDescent="0.25">
      <c r="A219" s="2" t="s">
        <v>173</v>
      </c>
      <c r="B219" s="2" t="s">
        <v>6853</v>
      </c>
      <c r="C219" s="2" t="s">
        <v>6854</v>
      </c>
      <c r="D219" s="2" t="s">
        <v>6855</v>
      </c>
      <c r="E219" s="3">
        <v>42619</v>
      </c>
      <c r="F219" s="2" t="s">
        <v>6856</v>
      </c>
      <c r="G219" s="2" t="s">
        <v>6857</v>
      </c>
      <c r="H219" s="2" t="s">
        <v>2425</v>
      </c>
      <c r="I219" s="2" t="s">
        <v>2461</v>
      </c>
      <c r="J219" s="3">
        <v>42679</v>
      </c>
      <c r="K219" s="2" t="str">
        <f>HYPERLINK("https://docs.wto.org/imrd/directdoc.asp?DDFDocuments/t/G/SPS/NARE77.DOC")</f>
        <v>https://docs.wto.org/imrd/directdoc.asp?DDFDocuments/t/G/SPS/NARE77.DOC</v>
      </c>
      <c r="L219" s="2" t="str">
        <f>HYPERLINK("https://docs.wto.org/imrd/directdoc.asp?DDFDocuments/u/G/SPS/NARE77.DOC")</f>
        <v>https://docs.wto.org/imrd/directdoc.asp?DDFDocuments/u/G/SPS/NARE77.DOC</v>
      </c>
      <c r="M219" s="2" t="str">
        <f>HYPERLINK("https://docs.wto.org/imrd/directdoc.asp?DDFDocuments/v/G/SPS/NARE77.DOC")</f>
        <v>https://docs.wto.org/imrd/directdoc.asp?DDFDocuments/v/G/SPS/NARE77.DOC</v>
      </c>
      <c r="N219" s="2" t="str">
        <f>HYPERLINK("http://www.epingalert.org/#/details/G/SPS/N/ARE/77#G/SPS/N/BHR/157#G/SPS/N/KWT/6#G/SPS/N/OMN/57#G/SPS/N/QAT/61#G/SPS/N/SAU/208#G/SPS/N/YEM/2")</f>
        <v>http://www.epingalert.org/#/details/G/SPS/N/ARE/77#G/SPS/N/BHR/157#G/SPS/N/KWT/6#G/SPS/N/OMN/57#G/SPS/N/QAT/61#G/SPS/N/SAU/208#G/SPS/N/YEM/2</v>
      </c>
      <c r="O219" s="2"/>
    </row>
    <row r="220" spans="1:15" ht="240" customHeight="1" outlineLevel="1" x14ac:dyDescent="0.25">
      <c r="A220" s="2" t="s">
        <v>181</v>
      </c>
      <c r="B220" s="2" t="s">
        <v>6843</v>
      </c>
      <c r="C220" s="2" t="s">
        <v>6844</v>
      </c>
      <c r="D220" s="2" t="s">
        <v>6845</v>
      </c>
      <c r="E220" s="3">
        <v>42619</v>
      </c>
      <c r="F220" s="2" t="s">
        <v>6846</v>
      </c>
      <c r="G220" s="2" t="s">
        <v>6847</v>
      </c>
      <c r="H220" s="2" t="s">
        <v>2425</v>
      </c>
      <c r="I220" s="2" t="s">
        <v>2461</v>
      </c>
      <c r="J220" s="3">
        <v>42679</v>
      </c>
      <c r="K220" s="2" t="str">
        <f>HYPERLINK("https://docs.wto.org/imrd/directdoc.asp?DDFDocuments/t/G/SPS/NARE79.DOC")</f>
        <v>https://docs.wto.org/imrd/directdoc.asp?DDFDocuments/t/G/SPS/NARE79.DOC</v>
      </c>
      <c r="L220" s="2" t="str">
        <f>HYPERLINK("null")</f>
        <v>null</v>
      </c>
      <c r="M220" s="2" t="str">
        <f>HYPERLINK("null")</f>
        <v>null</v>
      </c>
      <c r="N220" s="2" t="str">
        <f>HYPERLINK("http://www.epingalert.org/#/details/G/SPS/N/ARE/79#G/SPS/N/BHR/159#G/SPS/N/KWT/8#G/SPS/N/OMN/59#G/SPS/N/QAT/63#G/SPS/N/SAU/210#G/SPS/N/YEM/4")</f>
        <v>http://www.epingalert.org/#/details/G/SPS/N/ARE/79#G/SPS/N/BHR/159#G/SPS/N/KWT/8#G/SPS/N/OMN/59#G/SPS/N/QAT/63#G/SPS/N/SAU/210#G/SPS/N/YEM/4</v>
      </c>
      <c r="O220" s="2"/>
    </row>
    <row r="221" spans="1:15" ht="240" customHeight="1" outlineLevel="1" x14ac:dyDescent="0.25">
      <c r="A221" s="2" t="s">
        <v>181</v>
      </c>
      <c r="B221" s="2" t="s">
        <v>6858</v>
      </c>
      <c r="C221" s="2" t="s">
        <v>6859</v>
      </c>
      <c r="D221" s="2" t="s">
        <v>6860</v>
      </c>
      <c r="E221" s="3">
        <v>42619</v>
      </c>
      <c r="F221" s="2" t="s">
        <v>6861</v>
      </c>
      <c r="G221" s="2" t="s">
        <v>2381</v>
      </c>
      <c r="H221" s="2" t="s">
        <v>2425</v>
      </c>
      <c r="I221" s="2" t="s">
        <v>2461</v>
      </c>
      <c r="J221" s="3">
        <v>42679</v>
      </c>
      <c r="K221" s="2" t="str">
        <f>HYPERLINK("https://docs.wto.org/imrd/directdoc.asp?DDFDocuments/t/G/SPS/NARE78.DOC")</f>
        <v>https://docs.wto.org/imrd/directdoc.asp?DDFDocuments/t/G/SPS/NARE78.DOC</v>
      </c>
      <c r="L221" s="2" t="str">
        <f>HYPERLINK("null")</f>
        <v>null</v>
      </c>
      <c r="M221" s="2" t="str">
        <f>HYPERLINK("null")</f>
        <v>null</v>
      </c>
      <c r="N221" s="2" t="str">
        <f>HYPERLINK("http://www.epingalert.org/#/details/G/SPS/N/ARE/78#G/SPS/N/BHR/158#G/SPS/N/KWT/7#G/SPS/N/OMN/58#G/SPS/N/QAT/62#G/SPS/N/SAU/209#G/SPS/N/YEM/3")</f>
        <v>http://www.epingalert.org/#/details/G/SPS/N/ARE/78#G/SPS/N/BHR/158#G/SPS/N/KWT/7#G/SPS/N/OMN/58#G/SPS/N/QAT/62#G/SPS/N/SAU/209#G/SPS/N/YEM/3</v>
      </c>
      <c r="O221" s="2"/>
    </row>
    <row r="222" spans="1:15" ht="240" customHeight="1" outlineLevel="1" x14ac:dyDescent="0.25">
      <c r="A222" s="2" t="s">
        <v>6822</v>
      </c>
      <c r="B222" s="2" t="s">
        <v>6833</v>
      </c>
      <c r="C222" s="2" t="s">
        <v>6834</v>
      </c>
      <c r="D222" s="2" t="s">
        <v>6835</v>
      </c>
      <c r="E222" s="3">
        <v>42619</v>
      </c>
      <c r="F222" s="2" t="s">
        <v>6836</v>
      </c>
      <c r="G222" s="2" t="s">
        <v>6837</v>
      </c>
      <c r="H222" s="2"/>
      <c r="I222" s="2" t="s">
        <v>6713</v>
      </c>
      <c r="J222" s="2"/>
      <c r="K222" s="2" t="str">
        <f>HYPERLINK("https://docs.wto.org/imrd/directdoc.asp?DDFDocuments/t/G/SPS/NARE75.DOC")</f>
        <v>https://docs.wto.org/imrd/directdoc.asp?DDFDocuments/t/G/SPS/NARE75.DOC</v>
      </c>
      <c r="L222" s="2" t="str">
        <f>HYPERLINK("https://docs.wto.org/imrd/directdoc.asp?DDFDocuments/u/G/SPS/NARE75.DOC")</f>
        <v>https://docs.wto.org/imrd/directdoc.asp?DDFDocuments/u/G/SPS/NARE75.DOC</v>
      </c>
      <c r="M222" s="2" t="str">
        <f>HYPERLINK("https://docs.wto.org/imrd/directdoc.asp?DDFDocuments/v/G/SPS/NARE75.DOC")</f>
        <v>https://docs.wto.org/imrd/directdoc.asp?DDFDocuments/v/G/SPS/NARE75.DOC</v>
      </c>
      <c r="N222" s="2" t="str">
        <f>HYPERLINK("http://www.epingalert.org/#/details/G/SPS/N/ARE/75")</f>
        <v>http://www.epingalert.org/#/details/G/SPS/N/ARE/75</v>
      </c>
      <c r="O222" s="2"/>
    </row>
    <row r="223" spans="1:15" ht="240" customHeight="1" outlineLevel="1" x14ac:dyDescent="0.25">
      <c r="A223" s="2" t="s">
        <v>1488</v>
      </c>
      <c r="B223" s="2" t="s">
        <v>6863</v>
      </c>
      <c r="C223" s="2" t="s">
        <v>6864</v>
      </c>
      <c r="D223" s="2" t="s">
        <v>6865</v>
      </c>
      <c r="E223" s="3">
        <v>42618</v>
      </c>
      <c r="F223" s="2" t="s">
        <v>6866</v>
      </c>
      <c r="G223" s="2" t="s">
        <v>6867</v>
      </c>
      <c r="H223" s="2" t="s">
        <v>6868</v>
      </c>
      <c r="I223" s="2" t="s">
        <v>6869</v>
      </c>
      <c r="J223" s="3">
        <v>42678</v>
      </c>
      <c r="K223" s="2" t="str">
        <f>HYPERLINK("https://docs.wto.org/imrd/directdoc.asp?DDFDocuments/t/G/SPS/NMEX304.DOC")</f>
        <v>https://docs.wto.org/imrd/directdoc.asp?DDFDocuments/t/G/SPS/NMEX304.DOC</v>
      </c>
      <c r="L223" s="2" t="str">
        <f>HYPERLINK("https://docs.wto.org/imrd/directdoc.asp?DDFDocuments/u/G/SPS/NMEX304.DOC")</f>
        <v>https://docs.wto.org/imrd/directdoc.asp?DDFDocuments/u/G/SPS/NMEX304.DOC</v>
      </c>
      <c r="M223" s="2" t="str">
        <f>HYPERLINK("https://docs.wto.org/imrd/directdoc.asp?DDFDocuments/v/G/SPS/NMEX304.DOC")</f>
        <v>https://docs.wto.org/imrd/directdoc.asp?DDFDocuments/v/G/SPS/NMEX304.DOC</v>
      </c>
      <c r="N223" s="2" t="str">
        <f>HYPERLINK("http://www.epingalert.org/#/details/G/SPS/N/MEX/304")</f>
        <v>http://www.epingalert.org/#/details/G/SPS/N/MEX/304</v>
      </c>
      <c r="O223" s="2"/>
    </row>
    <row r="224" spans="1:15" ht="240" customHeight="1" outlineLevel="1" x14ac:dyDescent="0.25">
      <c r="A224" s="2" t="s">
        <v>167</v>
      </c>
      <c r="B224" s="2" t="s">
        <v>6870</v>
      </c>
      <c r="C224" s="2" t="s">
        <v>6871</v>
      </c>
      <c r="D224" s="2" t="s">
        <v>6872</v>
      </c>
      <c r="E224" s="3">
        <v>42618</v>
      </c>
      <c r="F224" s="2" t="s">
        <v>6873</v>
      </c>
      <c r="G224" s="2" t="s">
        <v>6874</v>
      </c>
      <c r="H224" s="2" t="s">
        <v>2425</v>
      </c>
      <c r="I224" s="2" t="s">
        <v>2461</v>
      </c>
      <c r="J224" s="2"/>
      <c r="K224" s="2" t="str">
        <f>HYPERLINK("https://docs.wto.org/imrd/directdoc.asp?DDFDocuments/t/G/SPS/NNIC97.DOC")</f>
        <v>https://docs.wto.org/imrd/directdoc.asp?DDFDocuments/t/G/SPS/NNIC97.DOC</v>
      </c>
      <c r="L224" s="2" t="str">
        <f>HYPERLINK("https://docs.wto.org/imrd/directdoc.asp?DDFDocuments/u/G/SPS/NNIC97.DOC")</f>
        <v>https://docs.wto.org/imrd/directdoc.asp?DDFDocuments/u/G/SPS/NNIC97.DOC</v>
      </c>
      <c r="M224" s="2" t="str">
        <f>HYPERLINK("https://docs.wto.org/imrd/directdoc.asp?DDFDocuments/v/G/SPS/NNIC97.DOC")</f>
        <v>https://docs.wto.org/imrd/directdoc.asp?DDFDocuments/v/G/SPS/NNIC97.DOC</v>
      </c>
      <c r="N224" s="2" t="str">
        <f>HYPERLINK("http://www.epingalert.org/#/details/G/SPS/N/NIC/97")</f>
        <v>http://www.epingalert.org/#/details/G/SPS/N/NIC/97</v>
      </c>
      <c r="O224" s="2"/>
    </row>
    <row r="225" spans="1:15" ht="240" customHeight="1" outlineLevel="1" x14ac:dyDescent="0.25">
      <c r="A225" s="2" t="s">
        <v>2544</v>
      </c>
      <c r="B225" s="2" t="s">
        <v>2613</v>
      </c>
      <c r="C225" s="2" t="s">
        <v>2614</v>
      </c>
      <c r="D225" s="2" t="s">
        <v>2615</v>
      </c>
      <c r="E225" s="3">
        <v>42613</v>
      </c>
      <c r="F225" s="2" t="s">
        <v>210</v>
      </c>
      <c r="G225" s="2"/>
      <c r="H225" s="2" t="s">
        <v>2425</v>
      </c>
      <c r="I225" s="2" t="s">
        <v>2461</v>
      </c>
      <c r="J225" s="2"/>
      <c r="K225" s="2" t="str">
        <f>HYPERLINK("https://docs.wto.org/imrd/directdoc.asp?DDFDocuments/t/G/SPS/NCHL528.DOC")</f>
        <v>https://docs.wto.org/imrd/directdoc.asp?DDFDocuments/t/G/SPS/NCHL528.DOC</v>
      </c>
      <c r="L225" s="2" t="str">
        <f>HYPERLINK("https://docs.wto.org/imrd/directdoc.asp?DDFDocuments/u/G/SPS/NCHL528.DOC")</f>
        <v>https://docs.wto.org/imrd/directdoc.asp?DDFDocuments/u/G/SPS/NCHL528.DOC</v>
      </c>
      <c r="M225" s="2" t="str">
        <f>HYPERLINK("https://docs.wto.org/imrd/directdoc.asp?DDFDocuments/v/G/SPS/NCHL528.DOC")</f>
        <v>https://docs.wto.org/imrd/directdoc.asp?DDFDocuments/v/G/SPS/NCHL528.DOC</v>
      </c>
      <c r="N225" s="2" t="str">
        <f>HYPERLINK("http://www.epingalert.org/#/details/G/SPS/N/CHL/528")</f>
        <v>http://www.epingalert.org/#/details/G/SPS/N/CHL/528</v>
      </c>
      <c r="O225" s="2"/>
    </row>
    <row r="226" spans="1:15" ht="240" customHeight="1" outlineLevel="1" x14ac:dyDescent="0.25">
      <c r="A226" s="2" t="s">
        <v>321</v>
      </c>
      <c r="B226" s="2" t="s">
        <v>2616</v>
      </c>
      <c r="C226" s="2" t="s">
        <v>2617</v>
      </c>
      <c r="D226" s="2" t="s">
        <v>2618</v>
      </c>
      <c r="E226" s="3">
        <v>42612</v>
      </c>
      <c r="F226" s="2" t="s">
        <v>2619</v>
      </c>
      <c r="G226" s="2"/>
      <c r="H226" s="2" t="s">
        <v>2573</v>
      </c>
      <c r="I226" s="2" t="s">
        <v>2620</v>
      </c>
      <c r="J226" s="3">
        <v>42672</v>
      </c>
      <c r="K226" s="2" t="str">
        <f>HYPERLINK("https://docs.wto.org/imrd/directdoc.asp?DDFDocuments/t/G/SPS/NZWE6.DOC")</f>
        <v>https://docs.wto.org/imrd/directdoc.asp?DDFDocuments/t/G/SPS/NZWE6.DOC</v>
      </c>
      <c r="L226" s="2" t="str">
        <f>HYPERLINK("https://docs.wto.org/imrd/directdoc.asp?DDFDocuments/u/G/SPS/NZWE6.DOC")</f>
        <v>https://docs.wto.org/imrd/directdoc.asp?DDFDocuments/u/G/SPS/NZWE6.DOC</v>
      </c>
      <c r="M226" s="2" t="str">
        <f>HYPERLINK("https://docs.wto.org/imrd/directdoc.asp?DDFDocuments/v/G/SPS/NZWE6.DOC")</f>
        <v>https://docs.wto.org/imrd/directdoc.asp?DDFDocuments/v/G/SPS/NZWE6.DOC</v>
      </c>
      <c r="N226" s="2" t="str">
        <f>HYPERLINK("http://www.epingalert.org/#/details/G/SPS/N/ZWE/6")</f>
        <v>http://www.epingalert.org/#/details/G/SPS/N/ZWE/6</v>
      </c>
      <c r="O226" s="2"/>
    </row>
    <row r="227" spans="1:15" ht="240" customHeight="1" outlineLevel="1" x14ac:dyDescent="0.25">
      <c r="A227" s="2" t="s">
        <v>115</v>
      </c>
      <c r="B227" s="2" t="s">
        <v>2621</v>
      </c>
      <c r="C227" s="2" t="s">
        <v>2622</v>
      </c>
      <c r="D227" s="2" t="s">
        <v>2623</v>
      </c>
      <c r="E227" s="3">
        <v>42612</v>
      </c>
      <c r="F227" s="2" t="s">
        <v>2624</v>
      </c>
      <c r="G227" s="2" t="s">
        <v>2625</v>
      </c>
      <c r="H227" s="2" t="s">
        <v>2425</v>
      </c>
      <c r="I227" s="2" t="s">
        <v>2426</v>
      </c>
      <c r="J227" s="2"/>
      <c r="K227" s="2" t="str">
        <f>HYPERLINK("https://docs.wto.org/imrd/directdoc.asp?DDFDocuments/t/G/SPS/NJPN475.DOC")</f>
        <v>https://docs.wto.org/imrd/directdoc.asp?DDFDocuments/t/G/SPS/NJPN475.DOC</v>
      </c>
      <c r="L227" s="2" t="str">
        <f>HYPERLINK("https://docs.wto.org/imrd/directdoc.asp?DDFDocuments/u/G/SPS/NJPN475.DOC")</f>
        <v>https://docs.wto.org/imrd/directdoc.asp?DDFDocuments/u/G/SPS/NJPN475.DOC</v>
      </c>
      <c r="M227" s="2" t="str">
        <f>HYPERLINK("https://docs.wto.org/imrd/directdoc.asp?DDFDocuments/v/G/SPS/NJPN475.DOC")</f>
        <v>https://docs.wto.org/imrd/directdoc.asp?DDFDocuments/v/G/SPS/NJPN475.DOC</v>
      </c>
      <c r="N227" s="2" t="str">
        <f>HYPERLINK("http://www.epingalert.org/#/details/G/SPS/N/JPN/475")</f>
        <v>http://www.epingalert.org/#/details/G/SPS/N/JPN/475</v>
      </c>
      <c r="O227" s="2"/>
    </row>
    <row r="228" spans="1:15" ht="240" customHeight="1" outlineLevel="1" x14ac:dyDescent="0.25">
      <c r="A228" s="2" t="s">
        <v>115</v>
      </c>
      <c r="B228" s="2" t="s">
        <v>6875</v>
      </c>
      <c r="C228" s="2" t="s">
        <v>6876</v>
      </c>
      <c r="D228" s="2" t="s">
        <v>6877</v>
      </c>
      <c r="E228" s="3">
        <v>42612</v>
      </c>
      <c r="F228" s="2" t="s">
        <v>6878</v>
      </c>
      <c r="G228" s="2" t="s">
        <v>2039</v>
      </c>
      <c r="H228" s="2" t="s">
        <v>2425</v>
      </c>
      <c r="I228" s="2" t="s">
        <v>4313</v>
      </c>
      <c r="J228" s="2"/>
      <c r="K228" s="2" t="str">
        <f>HYPERLINK("https://docs.wto.org/imrd/directdoc.asp?DDFDocuments/t/G/SPS/NJPN476.DOC")</f>
        <v>https://docs.wto.org/imrd/directdoc.asp?DDFDocuments/t/G/SPS/NJPN476.DOC</v>
      </c>
      <c r="L228" s="2" t="str">
        <f>HYPERLINK("https://docs.wto.org/imrd/directdoc.asp?DDFDocuments/u/G/SPS/NJPN476.DOC")</f>
        <v>https://docs.wto.org/imrd/directdoc.asp?DDFDocuments/u/G/SPS/NJPN476.DOC</v>
      </c>
      <c r="M228" s="2" t="str">
        <f>HYPERLINK("https://docs.wto.org/imrd/directdoc.asp?DDFDocuments/v/G/SPS/NJPN476.DOC")</f>
        <v>https://docs.wto.org/imrd/directdoc.asp?DDFDocuments/v/G/SPS/NJPN476.DOC</v>
      </c>
      <c r="N228" s="2" t="str">
        <f>HYPERLINK("http://www.epingalert.org/#/details/G/SPS/N/JPN/476")</f>
        <v>http://www.epingalert.org/#/details/G/SPS/N/JPN/476</v>
      </c>
      <c r="O228" s="2"/>
    </row>
    <row r="229" spans="1:15" ht="240" customHeight="1" outlineLevel="1" x14ac:dyDescent="0.25">
      <c r="A229" s="2" t="s">
        <v>2930</v>
      </c>
      <c r="B229" s="2" t="s">
        <v>6879</v>
      </c>
      <c r="C229" s="2"/>
      <c r="D229" s="2"/>
      <c r="E229" s="3">
        <v>42611</v>
      </c>
      <c r="F229" s="2"/>
      <c r="G229" s="2" t="s">
        <v>6880</v>
      </c>
      <c r="H229" s="2"/>
      <c r="I229" s="2" t="s">
        <v>2491</v>
      </c>
      <c r="J229" s="3">
        <v>42662</v>
      </c>
      <c r="K229" s="2" t="str">
        <f>HYPERLINK("https://docs.wto.org/imrd/directdoc.asp?DDFDocuments/t/G/SPS/NLKA10A2.DOC")</f>
        <v>https://docs.wto.org/imrd/directdoc.asp?DDFDocuments/t/G/SPS/NLKA10A2.DOC</v>
      </c>
      <c r="L229" s="2" t="str">
        <f>HYPERLINK("https://docs.wto.org/imrd/directdoc.asp?DDFDocuments/u/G/SPS/NLKA10A2.DOC")</f>
        <v>https://docs.wto.org/imrd/directdoc.asp?DDFDocuments/u/G/SPS/NLKA10A2.DOC</v>
      </c>
      <c r="M229" s="2" t="str">
        <f>HYPERLINK("https://docs.wto.org/imrd/directdoc.asp?DDFDocuments/v/G/SPS/NLKA10A2.DOC")</f>
        <v>https://docs.wto.org/imrd/directdoc.asp?DDFDocuments/v/G/SPS/NLKA10A2.DOC</v>
      </c>
      <c r="N229" s="2" t="str">
        <f>HYPERLINK("http://www.epingalert.org/#/details/G/SPS/N/LKA/10/Add.2")</f>
        <v>http://www.epingalert.org/#/details/G/SPS/N/LKA/10/Add.2</v>
      </c>
      <c r="O229" s="2"/>
    </row>
    <row r="230" spans="1:15" ht="240" customHeight="1" outlineLevel="1" x14ac:dyDescent="0.25">
      <c r="A230" s="2" t="s">
        <v>225</v>
      </c>
      <c r="B230" s="2" t="s">
        <v>2629</v>
      </c>
      <c r="C230" s="2" t="s">
        <v>2630</v>
      </c>
      <c r="D230" s="2" t="s">
        <v>2494</v>
      </c>
      <c r="E230" s="3">
        <v>42608</v>
      </c>
      <c r="F230" s="2" t="s">
        <v>2430</v>
      </c>
      <c r="G230" s="2"/>
      <c r="H230" s="2" t="s">
        <v>2425</v>
      </c>
      <c r="I230" s="2" t="s">
        <v>2431</v>
      </c>
      <c r="J230" s="3">
        <v>42671</v>
      </c>
      <c r="K230" s="2" t="str">
        <f>HYPERLINK("https://docs.wto.org/imrd/directdoc.asp?DDFDocuments/t/G/SPS/NAUS396.DOC")</f>
        <v>https://docs.wto.org/imrd/directdoc.asp?DDFDocuments/t/G/SPS/NAUS396.DOC</v>
      </c>
      <c r="L230" s="2" t="str">
        <f>HYPERLINK("https://docs.wto.org/imrd/directdoc.asp?DDFDocuments/u/G/SPS/NAUS396.DOC")</f>
        <v>https://docs.wto.org/imrd/directdoc.asp?DDFDocuments/u/G/SPS/NAUS396.DOC</v>
      </c>
      <c r="M230" s="2" t="str">
        <f>HYPERLINK("https://docs.wto.org/imrd/directdoc.asp?DDFDocuments/v/G/SPS/NAUS396.DOC")</f>
        <v>https://docs.wto.org/imrd/directdoc.asp?DDFDocuments/v/G/SPS/NAUS396.DOC</v>
      </c>
      <c r="N230" s="2" t="str">
        <f>HYPERLINK("http://www.epingalert.org/#/details/G/SPS/N/AUS/396")</f>
        <v>http://www.epingalert.org/#/details/G/SPS/N/AUS/396</v>
      </c>
      <c r="O230" s="2"/>
    </row>
    <row r="231" spans="1:15" ht="240" customHeight="1" outlineLevel="1" x14ac:dyDescent="0.25">
      <c r="A231" s="2" t="s">
        <v>18</v>
      </c>
      <c r="B231" s="2" t="s">
        <v>2626</v>
      </c>
      <c r="C231" s="2"/>
      <c r="D231" s="2"/>
      <c r="E231" s="3">
        <v>42608</v>
      </c>
      <c r="F231" s="2" t="s">
        <v>2627</v>
      </c>
      <c r="G231" s="2"/>
      <c r="H231" s="2" t="s">
        <v>2573</v>
      </c>
      <c r="I231" s="2" t="s">
        <v>2628</v>
      </c>
      <c r="J231" s="2"/>
      <c r="K231" s="2" t="str">
        <f>HYPERLINK("https://docs.wto.org/imrd/directdoc.asp?DDFDocuments/t/G/SPS/NUSA2156A7.DOC")</f>
        <v>https://docs.wto.org/imrd/directdoc.asp?DDFDocuments/t/G/SPS/NUSA2156A7.DOC</v>
      </c>
      <c r="L231" s="2" t="str">
        <f>HYPERLINK("https://docs.wto.org/imrd/directdoc.asp?DDFDocuments/u/G/SPS/NUSA2156A7.DOC")</f>
        <v>https://docs.wto.org/imrd/directdoc.asp?DDFDocuments/u/G/SPS/NUSA2156A7.DOC</v>
      </c>
      <c r="M231" s="2" t="str">
        <f>HYPERLINK("https://docs.wto.org/imrd/directdoc.asp?DDFDocuments/v/G/SPS/NUSA2156A7.DOC")</f>
        <v>https://docs.wto.org/imrd/directdoc.asp?DDFDocuments/v/G/SPS/NUSA2156A7.DOC</v>
      </c>
      <c r="N231" s="2" t="str">
        <f>HYPERLINK("http://www.epingalert.org/#/details/G/SPS/N/USA/2156/Add.7")</f>
        <v>http://www.epingalert.org/#/details/G/SPS/N/USA/2156/Add.7</v>
      </c>
      <c r="O231" s="2"/>
    </row>
    <row r="232" spans="1:15" ht="240" customHeight="1" outlineLevel="1" x14ac:dyDescent="0.25">
      <c r="A232" s="2" t="s">
        <v>115</v>
      </c>
      <c r="B232" s="2" t="s">
        <v>2631</v>
      </c>
      <c r="C232" s="2" t="s">
        <v>2622</v>
      </c>
      <c r="D232" s="2" t="s">
        <v>2632</v>
      </c>
      <c r="E232" s="3">
        <v>42607</v>
      </c>
      <c r="F232" s="2" t="s">
        <v>2633</v>
      </c>
      <c r="G232" s="2"/>
      <c r="H232" s="2" t="s">
        <v>2425</v>
      </c>
      <c r="I232" s="2" t="s">
        <v>2426</v>
      </c>
      <c r="J232" s="2"/>
      <c r="K232" s="2" t="str">
        <f>HYPERLINK("https://docs.wto.org/imrd/directdoc.asp?DDFDocuments/t/G/SPS/NJPN472.DOC")</f>
        <v>https://docs.wto.org/imrd/directdoc.asp?DDFDocuments/t/G/SPS/NJPN472.DOC</v>
      </c>
      <c r="L232" s="2" t="str">
        <f>HYPERLINK("https://docs.wto.org/imrd/directdoc.asp?DDFDocuments/u/G/SPS/NJPN472.DOC")</f>
        <v>https://docs.wto.org/imrd/directdoc.asp?DDFDocuments/u/G/SPS/NJPN472.DOC</v>
      </c>
      <c r="M232" s="2" t="str">
        <f>HYPERLINK("https://docs.wto.org/imrd/directdoc.asp?DDFDocuments/v/G/SPS/NJPN472.DOC")</f>
        <v>https://docs.wto.org/imrd/directdoc.asp?DDFDocuments/v/G/SPS/NJPN472.DOC</v>
      </c>
      <c r="N232" s="2" t="str">
        <f>HYPERLINK("http://www.epingalert.org/#/details/G/SPS/N/JPN/472")</f>
        <v>http://www.epingalert.org/#/details/G/SPS/N/JPN/472</v>
      </c>
      <c r="O232" s="2"/>
    </row>
    <row r="233" spans="1:15" ht="240" customHeight="1" outlineLevel="1" x14ac:dyDescent="0.25">
      <c r="A233" s="2" t="s">
        <v>115</v>
      </c>
      <c r="B233" s="2" t="s">
        <v>2634</v>
      </c>
      <c r="C233" s="2" t="s">
        <v>2622</v>
      </c>
      <c r="D233" s="2" t="s">
        <v>2635</v>
      </c>
      <c r="E233" s="3">
        <v>42607</v>
      </c>
      <c r="F233" s="2" t="s">
        <v>2636</v>
      </c>
      <c r="G233" s="2"/>
      <c r="H233" s="2" t="s">
        <v>2425</v>
      </c>
      <c r="I233" s="2" t="s">
        <v>2426</v>
      </c>
      <c r="J233" s="2"/>
      <c r="K233" s="2" t="str">
        <f>HYPERLINK("https://docs.wto.org/imrd/directdoc.asp?DDFDocuments/t/G/SPS/NJPN473.DOC")</f>
        <v>https://docs.wto.org/imrd/directdoc.asp?DDFDocuments/t/G/SPS/NJPN473.DOC</v>
      </c>
      <c r="L233" s="2" t="str">
        <f>HYPERLINK("https://docs.wto.org/imrd/directdoc.asp?DDFDocuments/u/G/SPS/NJPN473.DOC")</f>
        <v>https://docs.wto.org/imrd/directdoc.asp?DDFDocuments/u/G/SPS/NJPN473.DOC</v>
      </c>
      <c r="M233" s="2" t="str">
        <f>HYPERLINK("https://docs.wto.org/imrd/directdoc.asp?DDFDocuments/v/G/SPS/NJPN473.DOC")</f>
        <v>https://docs.wto.org/imrd/directdoc.asp?DDFDocuments/v/G/SPS/NJPN473.DOC</v>
      </c>
      <c r="N233" s="2" t="str">
        <f>HYPERLINK("http://www.epingalert.org/#/details/G/SPS/N/JPN/473")</f>
        <v>http://www.epingalert.org/#/details/G/SPS/N/JPN/473</v>
      </c>
      <c r="O233" s="2"/>
    </row>
    <row r="234" spans="1:15" ht="240" customHeight="1" outlineLevel="1" x14ac:dyDescent="0.25">
      <c r="A234" s="2" t="s">
        <v>115</v>
      </c>
      <c r="B234" s="2" t="s">
        <v>2637</v>
      </c>
      <c r="C234" s="2" t="s">
        <v>2622</v>
      </c>
      <c r="D234" s="2" t="s">
        <v>2638</v>
      </c>
      <c r="E234" s="3">
        <v>42607</v>
      </c>
      <c r="F234" s="2" t="s">
        <v>2639</v>
      </c>
      <c r="G234" s="2"/>
      <c r="H234" s="2" t="s">
        <v>2425</v>
      </c>
      <c r="I234" s="2" t="s">
        <v>2426</v>
      </c>
      <c r="J234" s="2"/>
      <c r="K234" s="2" t="str">
        <f>HYPERLINK("https://docs.wto.org/imrd/directdoc.asp?DDFDocuments/t/G/SPS/NJPN474.DOC")</f>
        <v>https://docs.wto.org/imrd/directdoc.asp?DDFDocuments/t/G/SPS/NJPN474.DOC</v>
      </c>
      <c r="L234" s="2" t="str">
        <f>HYPERLINK("https://docs.wto.org/imrd/directdoc.asp?DDFDocuments/u/G/SPS/NJPN474.DOC")</f>
        <v>https://docs.wto.org/imrd/directdoc.asp?DDFDocuments/u/G/SPS/NJPN474.DOC</v>
      </c>
      <c r="M234" s="2" t="str">
        <f>HYPERLINK("https://docs.wto.org/imrd/directdoc.asp?DDFDocuments/v/G/SPS/NJPN474.DOC")</f>
        <v>https://docs.wto.org/imrd/directdoc.asp?DDFDocuments/v/G/SPS/NJPN474.DOC</v>
      </c>
      <c r="N234" s="2" t="str">
        <f>HYPERLINK("http://www.epingalert.org/#/details/G/SPS/N/JPN/474")</f>
        <v>http://www.epingalert.org/#/details/G/SPS/N/JPN/474</v>
      </c>
      <c r="O234" s="2"/>
    </row>
    <row r="235" spans="1:15" ht="240" customHeight="1" outlineLevel="1" x14ac:dyDescent="0.25">
      <c r="A235" s="2" t="s">
        <v>225</v>
      </c>
      <c r="B235" s="2" t="s">
        <v>2640</v>
      </c>
      <c r="C235" s="2" t="s">
        <v>2641</v>
      </c>
      <c r="D235" s="2" t="s">
        <v>2642</v>
      </c>
      <c r="E235" s="3">
        <v>42606</v>
      </c>
      <c r="F235" s="2" t="s">
        <v>2643</v>
      </c>
      <c r="G235" s="2"/>
      <c r="H235" s="2" t="s">
        <v>2425</v>
      </c>
      <c r="I235" s="2" t="s">
        <v>2644</v>
      </c>
      <c r="J235" s="3">
        <v>42666</v>
      </c>
      <c r="K235" s="2" t="str">
        <f>HYPERLINK("https://docs.wto.org/imrd/directdoc.asp?DDFDocuments/t/G/SPS/NAUS394.DOC")</f>
        <v>https://docs.wto.org/imrd/directdoc.asp?DDFDocuments/t/G/SPS/NAUS394.DOC</v>
      </c>
      <c r="L235" s="2" t="str">
        <f>HYPERLINK("https://docs.wto.org/imrd/directdoc.asp?DDFDocuments/u/G/SPS/NAUS394.DOC")</f>
        <v>https://docs.wto.org/imrd/directdoc.asp?DDFDocuments/u/G/SPS/NAUS394.DOC</v>
      </c>
      <c r="M235" s="2" t="str">
        <f>HYPERLINK("https://docs.wto.org/imrd/directdoc.asp?DDFDocuments/v/G/SPS/NAUS394.DOC")</f>
        <v>https://docs.wto.org/imrd/directdoc.asp?DDFDocuments/v/G/SPS/NAUS394.DOC</v>
      </c>
      <c r="N235" s="2" t="str">
        <f>HYPERLINK("http://www.epingalert.org/#/details/G/SPS/N/AUS/394")</f>
        <v>http://www.epingalert.org/#/details/G/SPS/N/AUS/394</v>
      </c>
      <c r="O235" s="2"/>
    </row>
    <row r="236" spans="1:15" ht="240" customHeight="1" outlineLevel="1" x14ac:dyDescent="0.25">
      <c r="A236" s="2" t="s">
        <v>211</v>
      </c>
      <c r="B236" s="2" t="s">
        <v>6881</v>
      </c>
      <c r="C236" s="2" t="s">
        <v>6882</v>
      </c>
      <c r="D236" s="2" t="s">
        <v>6883</v>
      </c>
      <c r="E236" s="3">
        <v>42604</v>
      </c>
      <c r="F236" s="2" t="s">
        <v>6884</v>
      </c>
      <c r="G236" s="2" t="s">
        <v>6885</v>
      </c>
      <c r="H236" s="2" t="s">
        <v>6886</v>
      </c>
      <c r="I236" s="2" t="s">
        <v>6887</v>
      </c>
      <c r="J236" s="3">
        <v>42689</v>
      </c>
      <c r="K236" s="2" t="str">
        <f>HYPERLINK("https://docs.wto.org/imrd/directdoc.asp?DDFDocuments/t/G/SPS/NNZL540.DOC")</f>
        <v>https://docs.wto.org/imrd/directdoc.asp?DDFDocuments/t/G/SPS/NNZL540.DOC</v>
      </c>
      <c r="L236" s="2" t="str">
        <f>HYPERLINK("https://docs.wto.org/imrd/directdoc.asp?DDFDocuments/u/G/SPS/NNZL540.DOC")</f>
        <v>https://docs.wto.org/imrd/directdoc.asp?DDFDocuments/u/G/SPS/NNZL540.DOC</v>
      </c>
      <c r="M236" s="2" t="str">
        <f>HYPERLINK("https://docs.wto.org/imrd/directdoc.asp?DDFDocuments/v/G/SPS/NNZL540.DOC")</f>
        <v>https://docs.wto.org/imrd/directdoc.asp?DDFDocuments/v/G/SPS/NNZL540.DOC</v>
      </c>
      <c r="N236" s="2" t="str">
        <f>HYPERLINK("http://www.epingalert.org/#/details/G/SPS/N/NZL/540")</f>
        <v>http://www.epingalert.org/#/details/G/SPS/N/NZL/540</v>
      </c>
      <c r="O236" s="2"/>
    </row>
    <row r="237" spans="1:15" ht="240" customHeight="1" outlineLevel="1" x14ac:dyDescent="0.25">
      <c r="A237" s="2" t="s">
        <v>158</v>
      </c>
      <c r="B237" s="2" t="s">
        <v>2650</v>
      </c>
      <c r="C237" s="2" t="s">
        <v>2651</v>
      </c>
      <c r="D237" s="2" t="s">
        <v>2652</v>
      </c>
      <c r="E237" s="3">
        <v>42604</v>
      </c>
      <c r="F237" s="2" t="s">
        <v>2653</v>
      </c>
      <c r="G237" s="2"/>
      <c r="H237" s="2" t="s">
        <v>2654</v>
      </c>
      <c r="I237" s="2" t="s">
        <v>2558</v>
      </c>
      <c r="J237" s="3">
        <v>42664</v>
      </c>
      <c r="K237" s="2" t="str">
        <f>HYPERLINK("https://docs.wto.org/imrd/directdoc.asp?DDFDocuments/t/G/SPS/NCRI176.DOC")</f>
        <v>https://docs.wto.org/imrd/directdoc.asp?DDFDocuments/t/G/SPS/NCRI176.DOC</v>
      </c>
      <c r="L237" s="2" t="str">
        <f>HYPERLINK("https://docs.wto.org/imrd/directdoc.asp?DDFDocuments/u/G/SPS/NCRI176.DOC")</f>
        <v>https://docs.wto.org/imrd/directdoc.asp?DDFDocuments/u/G/SPS/NCRI176.DOC</v>
      </c>
      <c r="M237" s="2" t="str">
        <f>HYPERLINK("https://docs.wto.org/imrd/directdoc.asp?DDFDocuments/v/G/SPS/NCRI176.DOC")</f>
        <v>https://docs.wto.org/imrd/directdoc.asp?DDFDocuments/v/G/SPS/NCRI176.DOC</v>
      </c>
      <c r="N237" s="2" t="str">
        <f>HYPERLINK("http://www.epingalert.org/#/details/G/SPS/N/CRI/176")</f>
        <v>http://www.epingalert.org/#/details/G/SPS/N/CRI/176</v>
      </c>
      <c r="O237" s="2"/>
    </row>
    <row r="238" spans="1:15" ht="240" customHeight="1" outlineLevel="1" x14ac:dyDescent="0.25">
      <c r="A238" s="2" t="s">
        <v>225</v>
      </c>
      <c r="B238" s="2" t="s">
        <v>2645</v>
      </c>
      <c r="C238" s="2"/>
      <c r="D238" s="2"/>
      <c r="E238" s="3">
        <v>42604</v>
      </c>
      <c r="F238" s="2" t="s">
        <v>2646</v>
      </c>
      <c r="G238" s="2" t="s">
        <v>2647</v>
      </c>
      <c r="H238" s="2" t="s">
        <v>2648</v>
      </c>
      <c r="I238" s="2" t="s">
        <v>2649</v>
      </c>
      <c r="J238" s="2"/>
      <c r="K238" s="2" t="str">
        <f>HYPERLINK("https://docs.wto.org/imrd/directdoc.asp?DDFDocuments/t/G/SPS/NAUS391C1.DOC")</f>
        <v>https://docs.wto.org/imrd/directdoc.asp?DDFDocuments/t/G/SPS/NAUS391C1.DOC</v>
      </c>
      <c r="L238" s="2" t="str">
        <f>HYPERLINK("https://docs.wto.org/imrd/directdoc.asp?DDFDocuments/u/G/SPS/NAUS391C1.DOC")</f>
        <v>https://docs.wto.org/imrd/directdoc.asp?DDFDocuments/u/G/SPS/NAUS391C1.DOC</v>
      </c>
      <c r="M238" s="2" t="str">
        <f>HYPERLINK("https://docs.wto.org/imrd/directdoc.asp?DDFDocuments/v/G/SPS/NAUS391C1.DOC")</f>
        <v>https://docs.wto.org/imrd/directdoc.asp?DDFDocuments/v/G/SPS/NAUS391C1.DOC</v>
      </c>
      <c r="N238" s="2" t="str">
        <f>HYPERLINK("http://www.epingalert.org/#/details/G/SPS/N/AUS/391/Corr.1")</f>
        <v>http://www.epingalert.org/#/details/G/SPS/N/AUS/391/Corr.1</v>
      </c>
      <c r="O238" s="2"/>
    </row>
    <row r="239" spans="1:15" ht="240" customHeight="1" outlineLevel="1" x14ac:dyDescent="0.25">
      <c r="A239" s="2" t="s">
        <v>18</v>
      </c>
      <c r="B239" s="2" t="s">
        <v>2655</v>
      </c>
      <c r="C239" s="2"/>
      <c r="D239" s="2"/>
      <c r="E239" s="3">
        <v>42600</v>
      </c>
      <c r="F239" s="2" t="s">
        <v>2656</v>
      </c>
      <c r="G239" s="2"/>
      <c r="H239" s="2" t="s">
        <v>2573</v>
      </c>
      <c r="I239" s="2" t="s">
        <v>2444</v>
      </c>
      <c r="J239" s="2"/>
      <c r="K239" s="2" t="str">
        <f>HYPERLINK("https://docs.wto.org/imrd/directdoc.asp?DDFDocuments/t/G/SPS/NUSA79A2.DOC")</f>
        <v>https://docs.wto.org/imrd/directdoc.asp?DDFDocuments/t/G/SPS/NUSA79A2.DOC</v>
      </c>
      <c r="L239" s="2" t="str">
        <f>HYPERLINK("https://docs.wto.org/imrd/directdoc.asp?DDFDocuments/u/G/SPS/NUSA79A2.DOC")</f>
        <v>https://docs.wto.org/imrd/directdoc.asp?DDFDocuments/u/G/SPS/NUSA79A2.DOC</v>
      </c>
      <c r="M239" s="2" t="str">
        <f>HYPERLINK("https://docs.wto.org/imrd/directdoc.asp?DDFDocuments/v/G/SPS/NUSA79A2.DOC")</f>
        <v>https://docs.wto.org/imrd/directdoc.asp?DDFDocuments/v/G/SPS/NUSA79A2.DOC</v>
      </c>
      <c r="N239" s="2" t="str">
        <f>HYPERLINK("http://www.epingalert.org/#/details/G/SPS/N/USA/79/Add.2")</f>
        <v>http://www.epingalert.org/#/details/G/SPS/N/USA/79/Add.2</v>
      </c>
      <c r="O239" s="2"/>
    </row>
    <row r="240" spans="1:15" ht="240" customHeight="1" outlineLevel="1" x14ac:dyDescent="0.25">
      <c r="A240" s="2" t="s">
        <v>77</v>
      </c>
      <c r="B240" s="2" t="s">
        <v>2657</v>
      </c>
      <c r="C240" s="2" t="s">
        <v>2658</v>
      </c>
      <c r="D240" s="2" t="s">
        <v>2659</v>
      </c>
      <c r="E240" s="3">
        <v>42599</v>
      </c>
      <c r="F240" s="2" t="s">
        <v>2660</v>
      </c>
      <c r="G240" s="2" t="s">
        <v>2661</v>
      </c>
      <c r="H240" s="2" t="s">
        <v>2425</v>
      </c>
      <c r="I240" s="2" t="s">
        <v>2558</v>
      </c>
      <c r="J240" s="3">
        <v>42659</v>
      </c>
      <c r="K240" s="2" t="str">
        <f>HYPERLINK("https://docs.wto.org/imrd/directdoc.asp?DDFDocuments/t/G/SPS/NTPKM409.DOC")</f>
        <v>https://docs.wto.org/imrd/directdoc.asp?DDFDocuments/t/G/SPS/NTPKM409.DOC</v>
      </c>
      <c r="L240" s="2" t="str">
        <f>HYPERLINK("https://docs.wto.org/imrd/directdoc.asp?DDFDocuments/u/G/SPS/NTPKM409.DOC")</f>
        <v>https://docs.wto.org/imrd/directdoc.asp?DDFDocuments/u/G/SPS/NTPKM409.DOC</v>
      </c>
      <c r="M240" s="2" t="str">
        <f>HYPERLINK("https://docs.wto.org/imrd/directdoc.asp?DDFDocuments/v/G/SPS/NTPKM409.DOC")</f>
        <v>https://docs.wto.org/imrd/directdoc.asp?DDFDocuments/v/G/SPS/NTPKM409.DOC</v>
      </c>
      <c r="N240" s="2" t="str">
        <f>HYPERLINK("http://www.epingalert.org/#/details/G/SPS/N/TPKM/409")</f>
        <v>http://www.epingalert.org/#/details/G/SPS/N/TPKM/409</v>
      </c>
      <c r="O240" s="2"/>
    </row>
    <row r="241" spans="1:15" ht="240" customHeight="1" outlineLevel="1" x14ac:dyDescent="0.25">
      <c r="A241" s="2" t="s">
        <v>185</v>
      </c>
      <c r="B241" s="2" t="s">
        <v>2665</v>
      </c>
      <c r="C241" s="2" t="s">
        <v>2666</v>
      </c>
      <c r="D241" s="2" t="s">
        <v>2667</v>
      </c>
      <c r="E241" s="3">
        <v>42598</v>
      </c>
      <c r="F241" s="2" t="s">
        <v>2668</v>
      </c>
      <c r="G241" s="2"/>
      <c r="H241" s="2" t="s">
        <v>2425</v>
      </c>
      <c r="I241" s="2" t="s">
        <v>2669</v>
      </c>
      <c r="J241" s="3">
        <v>42658</v>
      </c>
      <c r="K241" s="2" t="str">
        <f>HYPERLINK("https://docs.wto.org/imrd/directdoc.asp?DDFDocuments/t/G/SPS/NEGY77.DOC")</f>
        <v>https://docs.wto.org/imrd/directdoc.asp?DDFDocuments/t/G/SPS/NEGY77.DOC</v>
      </c>
      <c r="L241" s="2" t="str">
        <f>HYPERLINK("https://docs.wto.org/imrd/directdoc.asp?DDFDocuments/u/G/SPS/NEGY77.DOC")</f>
        <v>https://docs.wto.org/imrd/directdoc.asp?DDFDocuments/u/G/SPS/NEGY77.DOC</v>
      </c>
      <c r="M241" s="2" t="str">
        <f>HYPERLINK("https://docs.wto.org/imrd/directdoc.asp?DDFDocuments/v/G/SPS/NEGY77.DOC")</f>
        <v>https://docs.wto.org/imrd/directdoc.asp?DDFDocuments/v/G/SPS/NEGY77.DOC</v>
      </c>
      <c r="N241" s="2" t="str">
        <f>HYPERLINK("http://www.epingalert.org/#/details/G/SPS/N/EGY/77")</f>
        <v>http://www.epingalert.org/#/details/G/SPS/N/EGY/77</v>
      </c>
      <c r="O241" s="2"/>
    </row>
    <row r="242" spans="1:15" ht="240" customHeight="1" outlineLevel="1" x14ac:dyDescent="0.25">
      <c r="A242" s="2" t="s">
        <v>225</v>
      </c>
      <c r="B242" s="2" t="s">
        <v>6888</v>
      </c>
      <c r="C242" s="2" t="s">
        <v>6889</v>
      </c>
      <c r="D242" s="2" t="s">
        <v>6890</v>
      </c>
      <c r="E242" s="3">
        <v>42598</v>
      </c>
      <c r="F242" s="2" t="s">
        <v>6891</v>
      </c>
      <c r="G242" s="2" t="s">
        <v>6892</v>
      </c>
      <c r="H242" s="2" t="s">
        <v>2467</v>
      </c>
      <c r="I242" s="2" t="s">
        <v>2713</v>
      </c>
      <c r="J242" s="3">
        <v>42658</v>
      </c>
      <c r="K242" s="2" t="str">
        <f>HYPERLINK("https://docs.wto.org/imrd/directdoc.asp?DDFDocuments/t/G/SPS/NAUS393.DOC")</f>
        <v>https://docs.wto.org/imrd/directdoc.asp?DDFDocuments/t/G/SPS/NAUS393.DOC</v>
      </c>
      <c r="L242" s="2" t="str">
        <f>HYPERLINK("https://docs.wto.org/imrd/directdoc.asp?DDFDocuments/u/G/SPS/NAUS393.DOC")</f>
        <v>https://docs.wto.org/imrd/directdoc.asp?DDFDocuments/u/G/SPS/NAUS393.DOC</v>
      </c>
      <c r="M242" s="2" t="str">
        <f>HYPERLINK("https://docs.wto.org/imrd/directdoc.asp?DDFDocuments/v/G/SPS/NAUS393.DOC")</f>
        <v>https://docs.wto.org/imrd/directdoc.asp?DDFDocuments/v/G/SPS/NAUS393.DOC</v>
      </c>
      <c r="N242" s="2" t="str">
        <f>HYPERLINK("http://www.epingalert.org/#/details/G/SPS/N/AUS/393")</f>
        <v>http://www.epingalert.org/#/details/G/SPS/N/AUS/393</v>
      </c>
      <c r="O242" s="2"/>
    </row>
    <row r="243" spans="1:15" ht="240" customHeight="1" outlineLevel="1" x14ac:dyDescent="0.25">
      <c r="A243" s="2" t="s">
        <v>185</v>
      </c>
      <c r="B243" s="2" t="s">
        <v>6893</v>
      </c>
      <c r="C243" s="2" t="s">
        <v>6894</v>
      </c>
      <c r="D243" s="2" t="s">
        <v>6895</v>
      </c>
      <c r="E243" s="3">
        <v>42598</v>
      </c>
      <c r="F243" s="2" t="s">
        <v>6896</v>
      </c>
      <c r="G243" s="2" t="s">
        <v>6897</v>
      </c>
      <c r="H243" s="2" t="s">
        <v>2425</v>
      </c>
      <c r="I243" s="2" t="s">
        <v>2461</v>
      </c>
      <c r="J243" s="3">
        <v>42658</v>
      </c>
      <c r="K243" s="2" t="str">
        <f>HYPERLINK("https://docs.wto.org/imrd/directdoc.asp?DDFDocuments/t/G/SPS/NEGY78.DOC")</f>
        <v>https://docs.wto.org/imrd/directdoc.asp?DDFDocuments/t/G/SPS/NEGY78.DOC</v>
      </c>
      <c r="L243" s="2" t="str">
        <f>HYPERLINK("https://docs.wto.org/imrd/directdoc.asp?DDFDocuments/u/G/SPS/NEGY78.DOC")</f>
        <v>https://docs.wto.org/imrd/directdoc.asp?DDFDocuments/u/G/SPS/NEGY78.DOC</v>
      </c>
      <c r="M243" s="2" t="str">
        <f>HYPERLINK("https://docs.wto.org/imrd/directdoc.asp?DDFDocuments/v/G/SPS/NEGY78.DOC")</f>
        <v>https://docs.wto.org/imrd/directdoc.asp?DDFDocuments/v/G/SPS/NEGY78.DOC</v>
      </c>
      <c r="N243" s="2" t="str">
        <f>HYPERLINK("http://www.epingalert.org/#/details/G/SPS/N/EGY/78")</f>
        <v>http://www.epingalert.org/#/details/G/SPS/N/EGY/78</v>
      </c>
      <c r="O243" s="2"/>
    </row>
    <row r="244" spans="1:15" ht="240" customHeight="1" outlineLevel="1" x14ac:dyDescent="0.25">
      <c r="A244" s="2" t="s">
        <v>211</v>
      </c>
      <c r="B244" s="2" t="s">
        <v>2662</v>
      </c>
      <c r="C244" s="2"/>
      <c r="D244" s="2"/>
      <c r="E244" s="3">
        <v>42598</v>
      </c>
      <c r="F244" s="2" t="s">
        <v>2663</v>
      </c>
      <c r="G244" s="2" t="s">
        <v>2664</v>
      </c>
      <c r="H244" s="2" t="s">
        <v>2467</v>
      </c>
      <c r="I244" s="2" t="s">
        <v>2444</v>
      </c>
      <c r="J244" s="2"/>
      <c r="K244" s="2" t="str">
        <f>HYPERLINK("https://docs.wto.org/imrd/directdoc.asp?DDFDocuments/t/G/SPS/NNZL521A1.DOC")</f>
        <v>https://docs.wto.org/imrd/directdoc.asp?DDFDocuments/t/G/SPS/NNZL521A1.DOC</v>
      </c>
      <c r="L244" s="2" t="str">
        <f>HYPERLINK("https://docs.wto.org/imrd/directdoc.asp?DDFDocuments/u/G/SPS/NNZL521A1.DOC")</f>
        <v>https://docs.wto.org/imrd/directdoc.asp?DDFDocuments/u/G/SPS/NNZL521A1.DOC</v>
      </c>
      <c r="M244" s="2" t="str">
        <f>HYPERLINK("https://docs.wto.org/imrd/directdoc.asp?DDFDocuments/v/G/SPS/NNZL521A1.DOC")</f>
        <v>https://docs.wto.org/imrd/directdoc.asp?DDFDocuments/v/G/SPS/NNZL521A1.DOC</v>
      </c>
      <c r="N244" s="2" t="str">
        <f>HYPERLINK("http://www.epingalert.org/#/details/G/SPS/N/NZL/521/Add.1")</f>
        <v>http://www.epingalert.org/#/details/G/SPS/N/NZL/521/Add.1</v>
      </c>
      <c r="O244" s="2"/>
    </row>
    <row r="245" spans="1:15" ht="240" customHeight="1" outlineLevel="1" x14ac:dyDescent="0.25">
      <c r="A245" s="2" t="s">
        <v>2681</v>
      </c>
      <c r="B245" s="2" t="s">
        <v>6585</v>
      </c>
      <c r="C245" s="2" t="s">
        <v>6586</v>
      </c>
      <c r="D245" s="2" t="s">
        <v>6587</v>
      </c>
      <c r="E245" s="3">
        <v>42598</v>
      </c>
      <c r="F245" s="2"/>
      <c r="G245" s="2" t="s">
        <v>6588</v>
      </c>
      <c r="H245" s="2" t="s">
        <v>2425</v>
      </c>
      <c r="I245" s="2" t="s">
        <v>2558</v>
      </c>
      <c r="J245" s="2"/>
      <c r="K245" s="2" t="str">
        <f>HYPERLINK("https://docs.wto.org/imrd/directdoc.asp?DDFDocuments/t/G/SPS/NGIN11A1.DOC")</f>
        <v>https://docs.wto.org/imrd/directdoc.asp?DDFDocuments/t/G/SPS/NGIN11A1.DOC</v>
      </c>
      <c r="L245" s="2" t="str">
        <f>HYPERLINK("https://docs.wto.org/imrd/directdoc.asp?DDFDocuments/u/G/SPS/NGIN11A1.DOC")</f>
        <v>https://docs.wto.org/imrd/directdoc.asp?DDFDocuments/u/G/SPS/NGIN11A1.DOC</v>
      </c>
      <c r="M245" s="2" t="str">
        <f>HYPERLINK("https://docs.wto.org/imrd/directdoc.asp?DDFDocuments/v/G/SPS/NGIN11A1.DOC")</f>
        <v>https://docs.wto.org/imrd/directdoc.asp?DDFDocuments/v/G/SPS/NGIN11A1.DOC</v>
      </c>
      <c r="N245" s="2" t="str">
        <f>HYPERLINK("http://www.epingalert.org/#/details/G/SPS/N/GIN/11/Add.1")</f>
        <v>http://www.epingalert.org/#/details/G/SPS/N/GIN/11/Add.1</v>
      </c>
      <c r="O245" s="2"/>
    </row>
    <row r="246" spans="1:15" ht="240" customHeight="1" outlineLevel="1" x14ac:dyDescent="0.25">
      <c r="A246" s="2" t="s">
        <v>18</v>
      </c>
      <c r="B246" s="2" t="s">
        <v>6898</v>
      </c>
      <c r="C246" s="2"/>
      <c r="D246" s="2"/>
      <c r="E246" s="3">
        <v>42597</v>
      </c>
      <c r="F246" s="2" t="s">
        <v>6809</v>
      </c>
      <c r="G246" s="2" t="s">
        <v>6899</v>
      </c>
      <c r="H246" s="2" t="s">
        <v>2467</v>
      </c>
      <c r="I246" s="2" t="s">
        <v>2444</v>
      </c>
      <c r="J246" s="2"/>
      <c r="K246" s="2" t="str">
        <f>HYPERLINK("https://docs.wto.org/imrd/directdoc.asp?DDFDocuments/t/G/SPS/NUSA2839A1.DOC")</f>
        <v>https://docs.wto.org/imrd/directdoc.asp?DDFDocuments/t/G/SPS/NUSA2839A1.DOC</v>
      </c>
      <c r="L246" s="2" t="str">
        <f>HYPERLINK("https://docs.wto.org/imrd/directdoc.asp?DDFDocuments/u/G/SPS/NUSA2839A1.DOC")</f>
        <v>https://docs.wto.org/imrd/directdoc.asp?DDFDocuments/u/G/SPS/NUSA2839A1.DOC</v>
      </c>
      <c r="M246" s="2" t="str">
        <f>HYPERLINK("https://docs.wto.org/imrd/directdoc.asp?DDFDocuments/v/G/SPS/NUSA2839A1.DOC")</f>
        <v>https://docs.wto.org/imrd/directdoc.asp?DDFDocuments/v/G/SPS/NUSA2839A1.DOC</v>
      </c>
      <c r="N246" s="2" t="str">
        <f>HYPERLINK("http://www.epingalert.org/#/details/G/SPS/N/USA/2839/Add.1")</f>
        <v>http://www.epingalert.org/#/details/G/SPS/N/USA/2839/Add.1</v>
      </c>
      <c r="O246" s="2"/>
    </row>
    <row r="247" spans="1:15" ht="240" customHeight="1" outlineLevel="1" x14ac:dyDescent="0.25">
      <c r="A247" s="2" t="s">
        <v>18</v>
      </c>
      <c r="B247" s="2" t="s">
        <v>6900</v>
      </c>
      <c r="C247" s="2"/>
      <c r="D247" s="2"/>
      <c r="E247" s="3">
        <v>42597</v>
      </c>
      <c r="F247" s="2" t="s">
        <v>6901</v>
      </c>
      <c r="G247" s="2" t="s">
        <v>6799</v>
      </c>
      <c r="H247" s="2" t="s">
        <v>2467</v>
      </c>
      <c r="I247" s="2" t="s">
        <v>2491</v>
      </c>
      <c r="J247" s="2"/>
      <c r="K247" s="2" t="str">
        <f>HYPERLINK("https://docs.wto.org/imrd/directdoc.asp?DDFDocuments/t/G/SPS/NUSA2807A1.DOC")</f>
        <v>https://docs.wto.org/imrd/directdoc.asp?DDFDocuments/t/G/SPS/NUSA2807A1.DOC</v>
      </c>
      <c r="L247" s="2" t="str">
        <f>HYPERLINK("https://docs.wto.org/imrd/directdoc.asp?DDFDocuments/u/G/SPS/NUSA2807A1.DOC")</f>
        <v>https://docs.wto.org/imrd/directdoc.asp?DDFDocuments/u/G/SPS/NUSA2807A1.DOC</v>
      </c>
      <c r="M247" s="2" t="str">
        <f>HYPERLINK("https://docs.wto.org/imrd/directdoc.asp?DDFDocuments/v/G/SPS/NUSA2807A1.DOC")</f>
        <v>https://docs.wto.org/imrd/directdoc.asp?DDFDocuments/v/G/SPS/NUSA2807A1.DOC</v>
      </c>
      <c r="N247" s="2" t="str">
        <f>HYPERLINK("http://www.epingalert.org/#/details/G/SPS/N/USA/2807/Add.1")</f>
        <v>http://www.epingalert.org/#/details/G/SPS/N/USA/2807/Add.1</v>
      </c>
      <c r="O247" s="2"/>
    </row>
    <row r="248" spans="1:15" ht="240" customHeight="1" outlineLevel="1" x14ac:dyDescent="0.25">
      <c r="A248" s="2" t="s">
        <v>25</v>
      </c>
      <c r="B248" s="2" t="s">
        <v>6905</v>
      </c>
      <c r="C248" s="2" t="s">
        <v>6906</v>
      </c>
      <c r="D248" s="2" t="s">
        <v>6907</v>
      </c>
      <c r="E248" s="3">
        <v>42594</v>
      </c>
      <c r="F248" s="2" t="s">
        <v>6908</v>
      </c>
      <c r="G248" s="2" t="s">
        <v>6736</v>
      </c>
      <c r="H248" s="2" t="s">
        <v>2467</v>
      </c>
      <c r="I248" s="2" t="s">
        <v>6811</v>
      </c>
      <c r="J248" s="3">
        <v>42654</v>
      </c>
      <c r="K248" s="2" t="str">
        <f>HYPERLINK("https://docs.wto.org/imrd/directdoc.asp?DDFDocuments/t/G/SPS/NKOR544.DOC")</f>
        <v>https://docs.wto.org/imrd/directdoc.asp?DDFDocuments/t/G/SPS/NKOR544.DOC</v>
      </c>
      <c r="L248" s="2" t="str">
        <f>HYPERLINK("https://docs.wto.org/imrd/directdoc.asp?DDFDocuments/u/G/SPS/NKOR544.DOC")</f>
        <v>https://docs.wto.org/imrd/directdoc.asp?DDFDocuments/u/G/SPS/NKOR544.DOC</v>
      </c>
      <c r="M248" s="2" t="str">
        <f>HYPERLINK("https://docs.wto.org/imrd/directdoc.asp?DDFDocuments/v/G/SPS/NKOR544.DOC")</f>
        <v>https://docs.wto.org/imrd/directdoc.asp?DDFDocuments/v/G/SPS/NKOR544.DOC</v>
      </c>
      <c r="N248" s="2" t="str">
        <f>HYPERLINK("http://www.epingalert.org/#/details/G/SPS/N/KOR/544")</f>
        <v>http://www.epingalert.org/#/details/G/SPS/N/KOR/544</v>
      </c>
      <c r="O248" s="2"/>
    </row>
    <row r="249" spans="1:15" ht="240" customHeight="1" outlineLevel="1" x14ac:dyDescent="0.25">
      <c r="A249" s="2" t="s">
        <v>185</v>
      </c>
      <c r="B249" s="2" t="s">
        <v>6589</v>
      </c>
      <c r="C249" s="2"/>
      <c r="D249" s="2"/>
      <c r="E249" s="3">
        <v>42594</v>
      </c>
      <c r="F249" s="2" t="s">
        <v>1750</v>
      </c>
      <c r="G249" s="2" t="s">
        <v>1775</v>
      </c>
      <c r="H249" s="2" t="s">
        <v>2425</v>
      </c>
      <c r="I249" s="2" t="s">
        <v>2444</v>
      </c>
      <c r="J249" s="2"/>
      <c r="K249" s="2" t="str">
        <f>HYPERLINK("https://docs.wto.org/imrd/directdoc.asp?DDFDocuments/t/G/SPS/NEGY68A1.DOC")</f>
        <v>https://docs.wto.org/imrd/directdoc.asp?DDFDocuments/t/G/SPS/NEGY68A1.DOC</v>
      </c>
      <c r="L249" s="2" t="str">
        <f>HYPERLINK("https://docs.wto.org/imrd/directdoc.asp?DDFDocuments/u/G/SPS/NEGY68A1.DOC")</f>
        <v>https://docs.wto.org/imrd/directdoc.asp?DDFDocuments/u/G/SPS/NEGY68A1.DOC</v>
      </c>
      <c r="M249" s="2" t="str">
        <f>HYPERLINK("https://docs.wto.org/imrd/directdoc.asp?DDFDocuments/v/G/SPS/NEGY68A1.DOC")</f>
        <v>https://docs.wto.org/imrd/directdoc.asp?DDFDocuments/v/G/SPS/NEGY68A1.DOC</v>
      </c>
      <c r="N249" s="2" t="str">
        <f>HYPERLINK("http://www.epingalert.org/#/details/G/SPS/N/EGY/68/Add.1")</f>
        <v>http://www.epingalert.org/#/details/G/SPS/N/EGY/68/Add.1</v>
      </c>
      <c r="O249" s="2"/>
    </row>
    <row r="250" spans="1:15" ht="240" customHeight="1" outlineLevel="1" x14ac:dyDescent="0.25">
      <c r="A250" s="2" t="s">
        <v>185</v>
      </c>
      <c r="B250" s="2" t="s">
        <v>6902</v>
      </c>
      <c r="C250" s="2"/>
      <c r="D250" s="2"/>
      <c r="E250" s="3">
        <v>42594</v>
      </c>
      <c r="F250" s="2" t="s">
        <v>6903</v>
      </c>
      <c r="G250" s="2" t="s">
        <v>6904</v>
      </c>
      <c r="H250" s="2" t="s">
        <v>2425</v>
      </c>
      <c r="I250" s="2" t="s">
        <v>2444</v>
      </c>
      <c r="J250" s="2"/>
      <c r="K250" s="2" t="str">
        <f>HYPERLINK("https://docs.wto.org/imrd/directdoc.asp?DDFDocuments/t/G/SPS/NEGY60A2.DOC")</f>
        <v>https://docs.wto.org/imrd/directdoc.asp?DDFDocuments/t/G/SPS/NEGY60A2.DOC</v>
      </c>
      <c r="L250" s="2" t="str">
        <f>HYPERLINK("https://docs.wto.org/imrd/directdoc.asp?DDFDocuments/u/G/SPS/NEGY60A2.DOC")</f>
        <v>https://docs.wto.org/imrd/directdoc.asp?DDFDocuments/u/G/SPS/NEGY60A2.DOC</v>
      </c>
      <c r="M250" s="2" t="str">
        <f>HYPERLINK("https://docs.wto.org/imrd/directdoc.asp?DDFDocuments/v/G/SPS/NEGY60A2.DOC")</f>
        <v>https://docs.wto.org/imrd/directdoc.asp?DDFDocuments/v/G/SPS/NEGY60A2.DOC</v>
      </c>
      <c r="N250" s="2" t="str">
        <f>HYPERLINK("http://www.epingalert.org/#/details/G/SPS/N/EGY/60/Add.2")</f>
        <v>http://www.epingalert.org/#/details/G/SPS/N/EGY/60/Add.2</v>
      </c>
      <c r="O250" s="2"/>
    </row>
    <row r="251" spans="1:15" ht="240" customHeight="1" outlineLevel="1" x14ac:dyDescent="0.25">
      <c r="A251" s="2" t="s">
        <v>1042</v>
      </c>
      <c r="B251" s="2" t="s">
        <v>6909</v>
      </c>
      <c r="C251" s="2" t="s">
        <v>6910</v>
      </c>
      <c r="D251" s="2" t="s">
        <v>6911</v>
      </c>
      <c r="E251" s="3">
        <v>42593</v>
      </c>
      <c r="F251" s="2" t="s">
        <v>6912</v>
      </c>
      <c r="G251" s="2" t="s">
        <v>6913</v>
      </c>
      <c r="H251" s="2" t="s">
        <v>2425</v>
      </c>
      <c r="I251" s="2" t="s">
        <v>2461</v>
      </c>
      <c r="J251" s="3">
        <v>42674</v>
      </c>
      <c r="K251" s="2" t="str">
        <f>HYPERLINK("https://docs.wto.org/imrd/directdoc.asp?DDFDocuments/t/G/SPS/NPHL337.DOC")</f>
        <v>https://docs.wto.org/imrd/directdoc.asp?DDFDocuments/t/G/SPS/NPHL337.DOC</v>
      </c>
      <c r="L251" s="2" t="str">
        <f>HYPERLINK("https://docs.wto.org/imrd/directdoc.asp?DDFDocuments/u/G/SPS/NPHL337.DOC")</f>
        <v>https://docs.wto.org/imrd/directdoc.asp?DDFDocuments/u/G/SPS/NPHL337.DOC</v>
      </c>
      <c r="M251" s="2" t="str">
        <f>HYPERLINK("https://docs.wto.org/imrd/directdoc.asp?DDFDocuments/v/G/SPS/NPHL337.DOC")</f>
        <v>https://docs.wto.org/imrd/directdoc.asp?DDFDocuments/v/G/SPS/NPHL337.DOC</v>
      </c>
      <c r="N251" s="2" t="str">
        <f>HYPERLINK("http://www.epingalert.org/#/details/G/SPS/N/PHL/337")</f>
        <v>http://www.epingalert.org/#/details/G/SPS/N/PHL/337</v>
      </c>
      <c r="O251" s="2"/>
    </row>
    <row r="252" spans="1:15" ht="240" customHeight="1" outlineLevel="1" x14ac:dyDescent="0.25">
      <c r="A252" s="2" t="s">
        <v>121</v>
      </c>
      <c r="B252" s="2" t="s">
        <v>6914</v>
      </c>
      <c r="C252" s="2" t="s">
        <v>2553</v>
      </c>
      <c r="D252" s="2" t="s">
        <v>6915</v>
      </c>
      <c r="E252" s="3">
        <v>42593</v>
      </c>
      <c r="F252" s="2" t="s">
        <v>6916</v>
      </c>
      <c r="G252" s="2" t="s">
        <v>6917</v>
      </c>
      <c r="H252" s="2" t="s">
        <v>2425</v>
      </c>
      <c r="I252" s="2" t="s">
        <v>2461</v>
      </c>
      <c r="J252" s="3">
        <v>42653</v>
      </c>
      <c r="K252" s="2" t="str">
        <f>HYPERLINK("https://docs.wto.org/imrd/directdoc.asp?DDFDocuments/t/G/SPS/NIND155.DOC")</f>
        <v>https://docs.wto.org/imrd/directdoc.asp?DDFDocuments/t/G/SPS/NIND155.DOC</v>
      </c>
      <c r="L252" s="2" t="str">
        <f>HYPERLINK("https://docs.wto.org/imrd/directdoc.asp?DDFDocuments/u/G/SPS/NIND155.DOC")</f>
        <v>https://docs.wto.org/imrd/directdoc.asp?DDFDocuments/u/G/SPS/NIND155.DOC</v>
      </c>
      <c r="M252" s="2" t="str">
        <f>HYPERLINK("https://docs.wto.org/imrd/directdoc.asp?DDFDocuments/v/G/SPS/NIND155.DOC")</f>
        <v>https://docs.wto.org/imrd/directdoc.asp?DDFDocuments/v/G/SPS/NIND155.DOC</v>
      </c>
      <c r="N252" s="2" t="str">
        <f>HYPERLINK("http://www.epingalert.org/#/details/G/SPS/N/IND/155")</f>
        <v>http://www.epingalert.org/#/details/G/SPS/N/IND/155</v>
      </c>
      <c r="O252" s="2"/>
    </row>
    <row r="253" spans="1:15" ht="240" customHeight="1" outlineLevel="1" x14ac:dyDescent="0.25">
      <c r="A253" s="2" t="s">
        <v>225</v>
      </c>
      <c r="B253" s="2" t="s">
        <v>2673</v>
      </c>
      <c r="C253" s="2" t="s">
        <v>2674</v>
      </c>
      <c r="D253" s="2" t="s">
        <v>2494</v>
      </c>
      <c r="E253" s="3">
        <v>42592</v>
      </c>
      <c r="F253" s="2" t="s">
        <v>2430</v>
      </c>
      <c r="G253" s="2"/>
      <c r="H253" s="2" t="s">
        <v>2425</v>
      </c>
      <c r="I253" s="2" t="s">
        <v>2431</v>
      </c>
      <c r="J253" s="3">
        <v>42657</v>
      </c>
      <c r="K253" s="2" t="str">
        <f>HYPERLINK("https://docs.wto.org/imrd/directdoc.asp?DDFDocuments/t/G/SPS/NAUS392.DOC")</f>
        <v>https://docs.wto.org/imrd/directdoc.asp?DDFDocuments/t/G/SPS/NAUS392.DOC</v>
      </c>
      <c r="L253" s="2" t="str">
        <f>HYPERLINK("https://docs.wto.org/imrd/directdoc.asp?DDFDocuments/u/G/SPS/NAUS392.DOC")</f>
        <v>https://docs.wto.org/imrd/directdoc.asp?DDFDocuments/u/G/SPS/NAUS392.DOC</v>
      </c>
      <c r="M253" s="2" t="str">
        <f>HYPERLINK("https://docs.wto.org/imrd/directdoc.asp?DDFDocuments/v/G/SPS/NAUS392.DOC")</f>
        <v>https://docs.wto.org/imrd/directdoc.asp?DDFDocuments/v/G/SPS/NAUS392.DOC</v>
      </c>
      <c r="N253" s="2" t="str">
        <f>HYPERLINK("http://www.epingalert.org/#/details/G/SPS/N/AUS/392")</f>
        <v>http://www.epingalert.org/#/details/G/SPS/N/AUS/392</v>
      </c>
      <c r="O253" s="2"/>
    </row>
    <row r="254" spans="1:15" ht="240" customHeight="1" outlineLevel="1" x14ac:dyDescent="0.25">
      <c r="A254" s="2" t="s">
        <v>225</v>
      </c>
      <c r="B254" s="2" t="s">
        <v>2675</v>
      </c>
      <c r="C254" s="2" t="s">
        <v>2676</v>
      </c>
      <c r="D254" s="2" t="s">
        <v>2677</v>
      </c>
      <c r="E254" s="3">
        <v>42592</v>
      </c>
      <c r="F254" s="2" t="s">
        <v>2678</v>
      </c>
      <c r="G254" s="2" t="s">
        <v>2679</v>
      </c>
      <c r="H254" s="2" t="s">
        <v>2648</v>
      </c>
      <c r="I254" s="2" t="s">
        <v>2680</v>
      </c>
      <c r="J254" s="3">
        <v>42652</v>
      </c>
      <c r="K254" s="2" t="str">
        <f>HYPERLINK("https://docs.wto.org/imrd/directdoc.asp?DDFDocuments/t/G/SPS/NAUS391.DOC")</f>
        <v>https://docs.wto.org/imrd/directdoc.asp?DDFDocuments/t/G/SPS/NAUS391.DOC</v>
      </c>
      <c r="L254" s="2" t="str">
        <f>HYPERLINK("https://docs.wto.org/imrd/directdoc.asp?DDFDocuments/u/G/SPS/NAUS391.DOC")</f>
        <v>https://docs.wto.org/imrd/directdoc.asp?DDFDocuments/u/G/SPS/NAUS391.DOC</v>
      </c>
      <c r="M254" s="2" t="str">
        <f>HYPERLINK("https://docs.wto.org/imrd/directdoc.asp?DDFDocuments/v/G/SPS/NAUS391.DOC")</f>
        <v>https://docs.wto.org/imrd/directdoc.asp?DDFDocuments/v/G/SPS/NAUS391.DOC</v>
      </c>
      <c r="N254" s="2" t="str">
        <f>HYPERLINK("http://www.epingalert.org/#/details/G/SPS/N/AUS/391")</f>
        <v>http://www.epingalert.org/#/details/G/SPS/N/AUS/391</v>
      </c>
      <c r="O254" s="2"/>
    </row>
    <row r="255" spans="1:15" ht="240" customHeight="1" outlineLevel="1" x14ac:dyDescent="0.25">
      <c r="A255" s="2" t="s">
        <v>18</v>
      </c>
      <c r="B255" s="2" t="s">
        <v>2670</v>
      </c>
      <c r="C255" s="2"/>
      <c r="D255" s="2"/>
      <c r="E255" s="3">
        <v>42592</v>
      </c>
      <c r="F255" s="2" t="s">
        <v>2671</v>
      </c>
      <c r="G255" s="2" t="s">
        <v>2596</v>
      </c>
      <c r="H255" s="2" t="s">
        <v>2425</v>
      </c>
      <c r="I255" s="2" t="s">
        <v>2672</v>
      </c>
      <c r="J255" s="3">
        <v>42632</v>
      </c>
      <c r="K255" s="2" t="str">
        <f>HYPERLINK("https://docs.wto.org/imrd/directdoc.asp?DDFDocuments/t/G/SPS/NUSA2862A2.DOC")</f>
        <v>https://docs.wto.org/imrd/directdoc.asp?DDFDocuments/t/G/SPS/NUSA2862A2.DOC</v>
      </c>
      <c r="L255" s="2" t="str">
        <f>HYPERLINK("https://docs.wto.org/imrd/directdoc.asp?DDFDocuments/u/G/SPS/NUSA2862A2.DOC")</f>
        <v>https://docs.wto.org/imrd/directdoc.asp?DDFDocuments/u/G/SPS/NUSA2862A2.DOC</v>
      </c>
      <c r="M255" s="2" t="str">
        <f>HYPERLINK("https://docs.wto.org/imrd/directdoc.asp?DDFDocuments/v/G/SPS/NUSA2862A2.DOC")</f>
        <v>https://docs.wto.org/imrd/directdoc.asp?DDFDocuments/v/G/SPS/NUSA2862A2.DOC</v>
      </c>
      <c r="N255" s="2" t="str">
        <f>HYPERLINK("http://www.epingalert.org/#/details/G/SPS/N/USA/2862/Add.2")</f>
        <v>http://www.epingalert.org/#/details/G/SPS/N/USA/2862/Add.2</v>
      </c>
      <c r="O255" s="2"/>
    </row>
    <row r="256" spans="1:15" ht="240" customHeight="1" outlineLevel="1" x14ac:dyDescent="0.25">
      <c r="A256" s="2" t="s">
        <v>173</v>
      </c>
      <c r="B256" s="2" t="s">
        <v>2687</v>
      </c>
      <c r="C256" s="2" t="s">
        <v>2688</v>
      </c>
      <c r="D256" s="2" t="s">
        <v>2689</v>
      </c>
      <c r="E256" s="3">
        <v>42591</v>
      </c>
      <c r="F256" s="2" t="s">
        <v>2690</v>
      </c>
      <c r="G256" s="2" t="s">
        <v>2691</v>
      </c>
      <c r="H256" s="2" t="s">
        <v>2425</v>
      </c>
      <c r="I256" s="2" t="s">
        <v>2692</v>
      </c>
      <c r="J256" s="3">
        <v>42651</v>
      </c>
      <c r="K256" s="2" t="str">
        <f>HYPERLINK("https://docs.wto.org/imrd/directdoc.asp?DDFDocuments/t/G/SPS/NSAU204.DOC")</f>
        <v>https://docs.wto.org/imrd/directdoc.asp?DDFDocuments/t/G/SPS/NSAU204.DOC</v>
      </c>
      <c r="L256" s="2" t="str">
        <f>HYPERLINK("https://docs.wto.org/imrd/directdoc.asp?DDFDocuments/u/G/SPS/NSAU204.DOC")</f>
        <v>https://docs.wto.org/imrd/directdoc.asp?DDFDocuments/u/G/SPS/NSAU204.DOC</v>
      </c>
      <c r="M256" s="2" t="str">
        <f>HYPERLINK("https://docs.wto.org/imrd/directdoc.asp?DDFDocuments/v/G/SPS/NSAU204.DOC")</f>
        <v>https://docs.wto.org/imrd/directdoc.asp?DDFDocuments/v/G/SPS/NSAU204.DOC</v>
      </c>
      <c r="N256" s="2" t="str">
        <f>HYPERLINK("http://www.epingalert.org/#/details/G/SPS/N/SAU/204")</f>
        <v>http://www.epingalert.org/#/details/G/SPS/N/SAU/204</v>
      </c>
      <c r="O256" s="2"/>
    </row>
    <row r="257" spans="1:15" ht="240" customHeight="1" outlineLevel="1" x14ac:dyDescent="0.25">
      <c r="A257" s="2" t="s">
        <v>121</v>
      </c>
      <c r="B257" s="2" t="s">
        <v>6504</v>
      </c>
      <c r="C257" s="2" t="s">
        <v>2570</v>
      </c>
      <c r="D257" s="2" t="s">
        <v>6505</v>
      </c>
      <c r="E257" s="3">
        <v>42591</v>
      </c>
      <c r="F257" s="2" t="s">
        <v>6506</v>
      </c>
      <c r="G257" s="2" t="s">
        <v>1775</v>
      </c>
      <c r="H257" s="2" t="s">
        <v>2425</v>
      </c>
      <c r="I257" s="2" t="s">
        <v>6503</v>
      </c>
      <c r="J257" s="3">
        <v>42651</v>
      </c>
      <c r="K257" s="2" t="str">
        <f>HYPERLINK("https://docs.wto.org/imrd/directdoc.asp?DDFDocuments/t/G/SPS/NIND153.DOC")</f>
        <v>https://docs.wto.org/imrd/directdoc.asp?DDFDocuments/t/G/SPS/NIND153.DOC</v>
      </c>
      <c r="L257" s="2" t="str">
        <f>HYPERLINK("https://docs.wto.org/imrd/directdoc.asp?DDFDocuments/u/G/SPS/NIND153.DOC")</f>
        <v>https://docs.wto.org/imrd/directdoc.asp?DDFDocuments/u/G/SPS/NIND153.DOC</v>
      </c>
      <c r="M257" s="2" t="str">
        <f>HYPERLINK("https://docs.wto.org/imrd/directdoc.asp?DDFDocuments/v/G/SPS/NIND153.DOC")</f>
        <v>https://docs.wto.org/imrd/directdoc.asp?DDFDocuments/v/G/SPS/NIND153.DOC</v>
      </c>
      <c r="N257" s="2" t="str">
        <f>HYPERLINK("http://www.epingalert.org/#/details/G/SPS/N/IND/153")</f>
        <v>http://www.epingalert.org/#/details/G/SPS/N/IND/153</v>
      </c>
      <c r="O257" s="2"/>
    </row>
    <row r="258" spans="1:15" ht="240" customHeight="1" outlineLevel="1" x14ac:dyDescent="0.25">
      <c r="A258" s="2" t="s">
        <v>121</v>
      </c>
      <c r="B258" s="2" t="s">
        <v>6918</v>
      </c>
      <c r="C258" s="2" t="s">
        <v>2553</v>
      </c>
      <c r="D258" s="2" t="s">
        <v>6919</v>
      </c>
      <c r="E258" s="3">
        <v>42591</v>
      </c>
      <c r="F258" s="2" t="s">
        <v>6920</v>
      </c>
      <c r="G258" s="2" t="s">
        <v>6921</v>
      </c>
      <c r="H258" s="2" t="s">
        <v>2425</v>
      </c>
      <c r="I258" s="2" t="s">
        <v>2461</v>
      </c>
      <c r="J258" s="3">
        <v>42651</v>
      </c>
      <c r="K258" s="2" t="str">
        <f>HYPERLINK("https://docs.wto.org/imrd/directdoc.asp?DDFDocuments/t/G/SPS/NIND151.DOC")</f>
        <v>https://docs.wto.org/imrd/directdoc.asp?DDFDocuments/t/G/SPS/NIND151.DOC</v>
      </c>
      <c r="L258" s="2" t="str">
        <f>HYPERLINK("https://docs.wto.org/imrd/directdoc.asp?DDFDocuments/u/G/SPS/NIND151.DOC")</f>
        <v>https://docs.wto.org/imrd/directdoc.asp?DDFDocuments/u/G/SPS/NIND151.DOC</v>
      </c>
      <c r="M258" s="2" t="str">
        <f>HYPERLINK("https://docs.wto.org/imrd/directdoc.asp?DDFDocuments/v/G/SPS/NIND151.DOC")</f>
        <v>https://docs.wto.org/imrd/directdoc.asp?DDFDocuments/v/G/SPS/NIND151.DOC</v>
      </c>
      <c r="N258" s="2" t="str">
        <f>HYPERLINK("http://www.epingalert.org/#/details/G/SPS/N/IND/151")</f>
        <v>http://www.epingalert.org/#/details/G/SPS/N/IND/151</v>
      </c>
      <c r="O258" s="2"/>
    </row>
    <row r="259" spans="1:15" ht="240" customHeight="1" outlineLevel="1" x14ac:dyDescent="0.25">
      <c r="A259" s="2" t="s">
        <v>121</v>
      </c>
      <c r="B259" s="2" t="s">
        <v>6927</v>
      </c>
      <c r="C259" s="2" t="s">
        <v>2553</v>
      </c>
      <c r="D259" s="2" t="s">
        <v>6928</v>
      </c>
      <c r="E259" s="3">
        <v>42591</v>
      </c>
      <c r="F259" s="2" t="s">
        <v>6929</v>
      </c>
      <c r="G259" s="2" t="s">
        <v>6930</v>
      </c>
      <c r="H259" s="2" t="s">
        <v>2425</v>
      </c>
      <c r="I259" s="2" t="s">
        <v>6503</v>
      </c>
      <c r="J259" s="3">
        <v>42651</v>
      </c>
      <c r="K259" s="2" t="str">
        <f>HYPERLINK("https://docs.wto.org/imrd/directdoc.asp?DDFDocuments/t/G/SPS/NIND154.DOC")</f>
        <v>https://docs.wto.org/imrd/directdoc.asp?DDFDocuments/t/G/SPS/NIND154.DOC</v>
      </c>
      <c r="L259" s="2" t="str">
        <f>HYPERLINK("https://docs.wto.org/imrd/directdoc.asp?DDFDocuments/u/G/SPS/NIND154.DOC")</f>
        <v>https://docs.wto.org/imrd/directdoc.asp?DDFDocuments/u/G/SPS/NIND154.DOC</v>
      </c>
      <c r="M259" s="2" t="str">
        <f>HYPERLINK("https://docs.wto.org/imrd/directdoc.asp?DDFDocuments/v/G/SPS/NIND154.DOC")</f>
        <v>https://docs.wto.org/imrd/directdoc.asp?DDFDocuments/v/G/SPS/NIND154.DOC</v>
      </c>
      <c r="N259" s="2" t="str">
        <f>HYPERLINK("http://www.epingalert.org/#/details/G/SPS/N/IND/154")</f>
        <v>http://www.epingalert.org/#/details/G/SPS/N/IND/154</v>
      </c>
      <c r="O259" s="2"/>
    </row>
    <row r="260" spans="1:15" ht="240" customHeight="1" outlineLevel="1" x14ac:dyDescent="0.25">
      <c r="A260" s="2" t="s">
        <v>2681</v>
      </c>
      <c r="B260" s="2" t="s">
        <v>2682</v>
      </c>
      <c r="C260" s="2" t="s">
        <v>2683</v>
      </c>
      <c r="D260" s="2" t="s">
        <v>2684</v>
      </c>
      <c r="E260" s="3">
        <v>42591</v>
      </c>
      <c r="F260" s="2" t="s">
        <v>2685</v>
      </c>
      <c r="G260" s="2" t="s">
        <v>2686</v>
      </c>
      <c r="H260" s="2" t="s">
        <v>2425</v>
      </c>
      <c r="I260" s="2" t="s">
        <v>2558</v>
      </c>
      <c r="J260" s="2"/>
      <c r="K260" s="2" t="str">
        <f>HYPERLINK("https://docs.wto.org/imrd/directdoc.asp?DDFDocuments/t/G/SPS/NGIN11.DOC")</f>
        <v>https://docs.wto.org/imrd/directdoc.asp?DDFDocuments/t/G/SPS/NGIN11.DOC</v>
      </c>
      <c r="L260" s="2" t="str">
        <f>HYPERLINK("https://docs.wto.org/imrd/directdoc.asp?DDFDocuments/u/G/SPS/NGIN11.DOC")</f>
        <v>https://docs.wto.org/imrd/directdoc.asp?DDFDocuments/u/G/SPS/NGIN11.DOC</v>
      </c>
      <c r="M260" s="2" t="str">
        <f>HYPERLINK("https://docs.wto.org/imrd/directdoc.asp?DDFDocuments/v/G/SPS/NGIN11.DOC")</f>
        <v>https://docs.wto.org/imrd/directdoc.asp?DDFDocuments/v/G/SPS/NGIN11.DOC</v>
      </c>
      <c r="N260" s="2" t="str">
        <f>HYPERLINK("http://www.epingalert.org/#/details/G/SPS/N/GIN/11")</f>
        <v>http://www.epingalert.org/#/details/G/SPS/N/GIN/11</v>
      </c>
      <c r="O260" s="2"/>
    </row>
    <row r="261" spans="1:15" ht="240" customHeight="1" outlineLevel="1" x14ac:dyDescent="0.25">
      <c r="A261" s="2" t="s">
        <v>128</v>
      </c>
      <c r="B261" s="2" t="s">
        <v>6922</v>
      </c>
      <c r="C261" s="2" t="s">
        <v>6923</v>
      </c>
      <c r="D261" s="2" t="s">
        <v>6924</v>
      </c>
      <c r="E261" s="3">
        <v>42591</v>
      </c>
      <c r="F261" s="2" t="s">
        <v>6925</v>
      </c>
      <c r="G261" s="2" t="s">
        <v>6926</v>
      </c>
      <c r="H261" s="2" t="s">
        <v>6741</v>
      </c>
      <c r="I261" s="2" t="s">
        <v>6742</v>
      </c>
      <c r="J261" s="2"/>
      <c r="K261" s="2" t="str">
        <f>HYPERLINK("https://docs.wto.org/imrd/directdoc.asp?DDFDocuments/t/G/SPS/NPER658.DOC")</f>
        <v>https://docs.wto.org/imrd/directdoc.asp?DDFDocuments/t/G/SPS/NPER658.DOC</v>
      </c>
      <c r="L261" s="2" t="str">
        <f>HYPERLINK("https://docs.wto.org/imrd/directdoc.asp?DDFDocuments/u/G/SPS/NPER658.DOC")</f>
        <v>https://docs.wto.org/imrd/directdoc.asp?DDFDocuments/u/G/SPS/NPER658.DOC</v>
      </c>
      <c r="M261" s="2" t="str">
        <f>HYPERLINK("https://docs.wto.org/imrd/directdoc.asp?DDFDocuments/v/G/SPS/NPER658.DOC")</f>
        <v>https://docs.wto.org/imrd/directdoc.asp?DDFDocuments/v/G/SPS/NPER658.DOC</v>
      </c>
      <c r="N261" s="2" t="str">
        <f>HYPERLINK("http://www.epingalert.org/#/details/G/SPS/N/PER/658")</f>
        <v>http://www.epingalert.org/#/details/G/SPS/N/PER/658</v>
      </c>
      <c r="O261" s="2"/>
    </row>
    <row r="262" spans="1:15" ht="240" customHeight="1" outlineLevel="1" x14ac:dyDescent="0.25">
      <c r="A262" s="2" t="s">
        <v>25</v>
      </c>
      <c r="B262" s="2" t="s">
        <v>2693</v>
      </c>
      <c r="C262" s="2" t="s">
        <v>2694</v>
      </c>
      <c r="D262" s="2" t="s">
        <v>2695</v>
      </c>
      <c r="E262" s="3">
        <v>42590</v>
      </c>
      <c r="F262" s="2" t="s">
        <v>299</v>
      </c>
      <c r="G262" s="2"/>
      <c r="H262" s="2" t="s">
        <v>2425</v>
      </c>
      <c r="I262" s="2" t="s">
        <v>2696</v>
      </c>
      <c r="J262" s="3">
        <v>42650</v>
      </c>
      <c r="K262" s="2" t="str">
        <f>HYPERLINK("https://docs.wto.org/imrd/directdoc.asp?DDFDocuments/t/G/SPS/NKOR543.DOC")</f>
        <v>https://docs.wto.org/imrd/directdoc.asp?DDFDocuments/t/G/SPS/NKOR543.DOC</v>
      </c>
      <c r="L262" s="2" t="str">
        <f>HYPERLINK("https://docs.wto.org/imrd/directdoc.asp?DDFDocuments/u/G/SPS/NKOR543.DOC")</f>
        <v>https://docs.wto.org/imrd/directdoc.asp?DDFDocuments/u/G/SPS/NKOR543.DOC</v>
      </c>
      <c r="M262" s="2" t="str">
        <f>HYPERLINK("https://docs.wto.org/imrd/directdoc.asp?DDFDocuments/v/G/SPS/NKOR543.DOC")</f>
        <v>https://docs.wto.org/imrd/directdoc.asp?DDFDocuments/v/G/SPS/NKOR543.DOC</v>
      </c>
      <c r="N262" s="2" t="str">
        <f>HYPERLINK("http://www.epingalert.org/#/details/G/SPS/N/KOR/543")</f>
        <v>http://www.epingalert.org/#/details/G/SPS/N/KOR/543</v>
      </c>
      <c r="O262" s="2"/>
    </row>
    <row r="263" spans="1:15" ht="240" customHeight="1" outlineLevel="1" x14ac:dyDescent="0.25">
      <c r="A263" s="2" t="s">
        <v>2697</v>
      </c>
      <c r="B263" s="2" t="s">
        <v>2698</v>
      </c>
      <c r="C263" s="2" t="s">
        <v>2699</v>
      </c>
      <c r="D263" s="2" t="s">
        <v>2700</v>
      </c>
      <c r="E263" s="3">
        <v>42590</v>
      </c>
      <c r="F263" s="2" t="s">
        <v>46</v>
      </c>
      <c r="G263" s="2"/>
      <c r="H263" s="2" t="s">
        <v>2573</v>
      </c>
      <c r="I263" s="2" t="s">
        <v>2461</v>
      </c>
      <c r="J263" s="2"/>
      <c r="K263" s="2" t="str">
        <f>HYPERLINK("https://docs.wto.org/imrd/directdoc.asp?DDFDocuments/t/G/SPS/NAFG2.DOC")</f>
        <v>https://docs.wto.org/imrd/directdoc.asp?DDFDocuments/t/G/SPS/NAFG2.DOC</v>
      </c>
      <c r="L263" s="2" t="str">
        <f>HYPERLINK("https://docs.wto.org/imrd/directdoc.asp?DDFDocuments/u/G/SPS/NAFG2.DOC")</f>
        <v>https://docs.wto.org/imrd/directdoc.asp?DDFDocuments/u/G/SPS/NAFG2.DOC</v>
      </c>
      <c r="M263" s="2" t="str">
        <f>HYPERLINK("https://docs.wto.org/imrd/directdoc.asp?DDFDocuments/v/G/SPS/NAFG2.DOC")</f>
        <v>https://docs.wto.org/imrd/directdoc.asp?DDFDocuments/v/G/SPS/NAFG2.DOC</v>
      </c>
      <c r="N263" s="2" t="str">
        <f>HYPERLINK("http://www.epingalert.org/#/details/G/SPS/N/AFG/2")</f>
        <v>http://www.epingalert.org/#/details/G/SPS/N/AFG/2</v>
      </c>
      <c r="O263" s="2"/>
    </row>
    <row r="264" spans="1:15" ht="240" customHeight="1" outlineLevel="1" x14ac:dyDescent="0.25">
      <c r="A264" s="2" t="s">
        <v>12</v>
      </c>
      <c r="B264" s="2" t="s">
        <v>2701</v>
      </c>
      <c r="C264" s="2" t="s">
        <v>2702</v>
      </c>
      <c r="D264" s="2" t="s">
        <v>2703</v>
      </c>
      <c r="E264" s="3">
        <v>42587</v>
      </c>
      <c r="F264" s="2" t="s">
        <v>2704</v>
      </c>
      <c r="G264" s="2"/>
      <c r="H264" s="2" t="s">
        <v>2425</v>
      </c>
      <c r="I264" s="2" t="s">
        <v>2426</v>
      </c>
      <c r="J264" s="3">
        <v>42647</v>
      </c>
      <c r="K264" s="2" t="str">
        <f>HYPERLINK("https://docs.wto.org/imrd/directdoc.asp?DDFDocuments/t/G/SPS/NEU169.DOC")</f>
        <v>https://docs.wto.org/imrd/directdoc.asp?DDFDocuments/t/G/SPS/NEU169.DOC</v>
      </c>
      <c r="L264" s="2" t="str">
        <f>HYPERLINK("https://docs.wto.org/imrd/directdoc.asp?DDFDocuments/u/G/SPS/NEU169.DOC")</f>
        <v>https://docs.wto.org/imrd/directdoc.asp?DDFDocuments/u/G/SPS/NEU169.DOC</v>
      </c>
      <c r="M264" s="2" t="str">
        <f>HYPERLINK("https://docs.wto.org/imrd/directdoc.asp?DDFDocuments/v/G/SPS/NEU169.DOC")</f>
        <v>https://docs.wto.org/imrd/directdoc.asp?DDFDocuments/v/G/SPS/NEU169.DOC</v>
      </c>
      <c r="N264" s="2" t="str">
        <f>HYPERLINK("http://www.epingalert.org/#/details/G/SPS/N/EU/169")</f>
        <v>http://www.epingalert.org/#/details/G/SPS/N/EU/169</v>
      </c>
      <c r="O264" s="2"/>
    </row>
    <row r="265" spans="1:15" ht="240" customHeight="1" outlineLevel="1" x14ac:dyDescent="0.25">
      <c r="A265" s="2" t="s">
        <v>380</v>
      </c>
      <c r="B265" s="2" t="s">
        <v>2705</v>
      </c>
      <c r="C265" s="2" t="s">
        <v>2706</v>
      </c>
      <c r="D265" s="2" t="s">
        <v>2707</v>
      </c>
      <c r="E265" s="3">
        <v>42587</v>
      </c>
      <c r="F265" s="2" t="s">
        <v>210</v>
      </c>
      <c r="G265" s="2"/>
      <c r="H265" s="2" t="s">
        <v>2425</v>
      </c>
      <c r="I265" s="2" t="s">
        <v>2453</v>
      </c>
      <c r="J265" s="3">
        <v>42647</v>
      </c>
      <c r="K265" s="2" t="str">
        <f>HYPERLINK("https://docs.wto.org/imrd/directdoc.asp?DDFDocuments/t/G/SPS/NCHN1051.DOC")</f>
        <v>https://docs.wto.org/imrd/directdoc.asp?DDFDocuments/t/G/SPS/NCHN1051.DOC</v>
      </c>
      <c r="L265" s="2" t="str">
        <f>HYPERLINK("https://docs.wto.org/imrd/directdoc.asp?DDFDocuments/u/G/SPS/NCHN1051.DOC")</f>
        <v>https://docs.wto.org/imrd/directdoc.asp?DDFDocuments/u/G/SPS/NCHN1051.DOC</v>
      </c>
      <c r="M265" s="2" t="str">
        <f>HYPERLINK("https://docs.wto.org/imrd/directdoc.asp?DDFDocuments/v/G/SPS/NCHN1051.DOC")</f>
        <v>https://docs.wto.org/imrd/directdoc.asp?DDFDocuments/v/G/SPS/NCHN1051.DOC</v>
      </c>
      <c r="N265" s="2" t="str">
        <f>HYPERLINK("http://www.epingalert.org/#/details/G/SPS/N/CHN/1051")</f>
        <v>http://www.epingalert.org/#/details/G/SPS/N/CHN/1051</v>
      </c>
      <c r="O265" s="2"/>
    </row>
    <row r="266" spans="1:15" ht="240" customHeight="1" outlineLevel="1" x14ac:dyDescent="0.25">
      <c r="A266" s="2" t="s">
        <v>115</v>
      </c>
      <c r="B266" s="2" t="s">
        <v>2708</v>
      </c>
      <c r="C266" s="2" t="s">
        <v>2709</v>
      </c>
      <c r="D266" s="2" t="s">
        <v>2710</v>
      </c>
      <c r="E266" s="3">
        <v>42586</v>
      </c>
      <c r="F266" s="2" t="s">
        <v>2711</v>
      </c>
      <c r="G266" s="2" t="s">
        <v>2712</v>
      </c>
      <c r="H266" s="2" t="s">
        <v>2467</v>
      </c>
      <c r="I266" s="2" t="s">
        <v>2713</v>
      </c>
      <c r="J266" s="3">
        <v>42646</v>
      </c>
      <c r="K266" s="2" t="str">
        <f>HYPERLINK("https://docs.wto.org/imrd/directdoc.asp?DDFDocuments/t/G/SPS/NJPN471.DOC")</f>
        <v>https://docs.wto.org/imrd/directdoc.asp?DDFDocuments/t/G/SPS/NJPN471.DOC</v>
      </c>
      <c r="L266" s="2" t="str">
        <f>HYPERLINK("https://docs.wto.org/imrd/directdoc.asp?DDFDocuments/u/G/SPS/NJPN471.DOC")</f>
        <v>https://docs.wto.org/imrd/directdoc.asp?DDFDocuments/u/G/SPS/NJPN471.DOC</v>
      </c>
      <c r="M266" s="2" t="str">
        <f>HYPERLINK("https://docs.wto.org/imrd/directdoc.asp?DDFDocuments/v/G/SPS/NJPN471.DOC")</f>
        <v>https://docs.wto.org/imrd/directdoc.asp?DDFDocuments/v/G/SPS/NJPN471.DOC</v>
      </c>
      <c r="N266" s="2" t="str">
        <f>HYPERLINK("http://www.epingalert.org/#/details/G/SPS/N/JPN/471")</f>
        <v>http://www.epingalert.org/#/details/G/SPS/N/JPN/471</v>
      </c>
      <c r="O266" s="2"/>
    </row>
    <row r="267" spans="1:15" ht="240" customHeight="1" outlineLevel="1" x14ac:dyDescent="0.25">
      <c r="A267" s="2" t="s">
        <v>31</v>
      </c>
      <c r="B267" s="2" t="s">
        <v>6931</v>
      </c>
      <c r="C267" s="2"/>
      <c r="D267" s="2"/>
      <c r="E267" s="3">
        <v>42585</v>
      </c>
      <c r="F267" s="2" t="s">
        <v>6932</v>
      </c>
      <c r="G267" s="2" t="s">
        <v>6933</v>
      </c>
      <c r="H267" s="2" t="s">
        <v>2425</v>
      </c>
      <c r="I267" s="2" t="s">
        <v>2444</v>
      </c>
      <c r="J267" s="2"/>
      <c r="K267" s="2" t="str">
        <f>HYPERLINK("https://docs.wto.org/imrd/directdoc.asp?DDFDocuments/t/G/SPS/NTHA232R1A1.DOC")</f>
        <v>https://docs.wto.org/imrd/directdoc.asp?DDFDocuments/t/G/SPS/NTHA232R1A1.DOC</v>
      </c>
      <c r="L267" s="2" t="str">
        <f>HYPERLINK("https://docs.wto.org/imrd/directdoc.asp?DDFDocuments/u/G/SPS/NTHA232R1A1.DOC")</f>
        <v>https://docs.wto.org/imrd/directdoc.asp?DDFDocuments/u/G/SPS/NTHA232R1A1.DOC</v>
      </c>
      <c r="M267" s="2" t="str">
        <f>HYPERLINK("https://docs.wto.org/imrd/directdoc.asp?DDFDocuments/v/G/SPS/NTHA232R1A1.DOC")</f>
        <v>https://docs.wto.org/imrd/directdoc.asp?DDFDocuments/v/G/SPS/NTHA232R1A1.DOC</v>
      </c>
      <c r="N267" s="2" t="str">
        <f>HYPERLINK("http://www.epingalert.org/#/details/G/SPS/N/THA/232/Rev.1/Add.1")</f>
        <v>http://www.epingalert.org/#/details/G/SPS/N/THA/232/Rev.1/Add.1</v>
      </c>
      <c r="O267" s="2"/>
    </row>
    <row r="268" spans="1:15" ht="240" customHeight="1" outlineLevel="1" x14ac:dyDescent="0.25">
      <c r="A268" s="2" t="s">
        <v>77</v>
      </c>
      <c r="B268" s="2" t="s">
        <v>2714</v>
      </c>
      <c r="C268" s="2" t="s">
        <v>2715</v>
      </c>
      <c r="D268" s="2" t="s">
        <v>2716</v>
      </c>
      <c r="E268" s="3">
        <v>42584</v>
      </c>
      <c r="F268" s="2" t="s">
        <v>2717</v>
      </c>
      <c r="G268" s="2" t="s">
        <v>2718</v>
      </c>
      <c r="H268" s="2" t="s">
        <v>2425</v>
      </c>
      <c r="I268" s="2" t="s">
        <v>2461</v>
      </c>
      <c r="J268" s="3">
        <v>42644</v>
      </c>
      <c r="K268" s="2" t="str">
        <f>HYPERLINK("https://docs.wto.org/imrd/directdoc.asp?DDFDocuments/t/G/SPS/NTPKM407.DOC")</f>
        <v>https://docs.wto.org/imrd/directdoc.asp?DDFDocuments/t/G/SPS/NTPKM407.DOC</v>
      </c>
      <c r="L268" s="2" t="str">
        <f>HYPERLINK("https://docs.wto.org/imrd/directdoc.asp?DDFDocuments/u/G/SPS/NTPKM407.DOC")</f>
        <v>https://docs.wto.org/imrd/directdoc.asp?DDFDocuments/u/G/SPS/NTPKM407.DOC</v>
      </c>
      <c r="M268" s="2" t="str">
        <f>HYPERLINK("https://docs.wto.org/imrd/directdoc.asp?DDFDocuments/v/G/SPS/NTPKM407.DOC")</f>
        <v>https://docs.wto.org/imrd/directdoc.asp?DDFDocuments/v/G/SPS/NTPKM407.DOC</v>
      </c>
      <c r="N268" s="2" t="str">
        <f>HYPERLINK("http://www.epingalert.org/#/details/G/SPS/N/TPKM/407")</f>
        <v>http://www.epingalert.org/#/details/G/SPS/N/TPKM/407</v>
      </c>
      <c r="O268" s="2"/>
    </row>
    <row r="269" spans="1:15" ht="240" customHeight="1" outlineLevel="1" x14ac:dyDescent="0.25">
      <c r="A269" s="2" t="s">
        <v>115</v>
      </c>
      <c r="B269" s="2" t="s">
        <v>6934</v>
      </c>
      <c r="C269" s="2" t="s">
        <v>6935</v>
      </c>
      <c r="D269" s="2" t="s">
        <v>6936</v>
      </c>
      <c r="E269" s="3">
        <v>42584</v>
      </c>
      <c r="F269" s="2" t="s">
        <v>6937</v>
      </c>
      <c r="G269" s="2" t="s">
        <v>6938</v>
      </c>
      <c r="H269" s="2" t="s">
        <v>2425</v>
      </c>
      <c r="I269" s="2" t="s">
        <v>2453</v>
      </c>
      <c r="J269" s="3">
        <v>42644</v>
      </c>
      <c r="K269" s="2" t="str">
        <f>HYPERLINK("https://docs.wto.org/imrd/directdoc.asp?DDFDocuments/t/G/SPS/NJPN458R1.DOC")</f>
        <v>https://docs.wto.org/imrd/directdoc.asp?DDFDocuments/t/G/SPS/NJPN458R1.DOC</v>
      </c>
      <c r="L269" s="2" t="str">
        <f>HYPERLINK("https://docs.wto.org/imrd/directdoc.asp?DDFDocuments/u/G/SPS/NJPN458R1.DOC")</f>
        <v>https://docs.wto.org/imrd/directdoc.asp?DDFDocuments/u/G/SPS/NJPN458R1.DOC</v>
      </c>
      <c r="M269" s="2" t="str">
        <f>HYPERLINK("https://docs.wto.org/imrd/directdoc.asp?DDFDocuments/v/G/SPS/NJPN458R1.DOC")</f>
        <v>https://docs.wto.org/imrd/directdoc.asp?DDFDocuments/v/G/SPS/NJPN458R1.DOC</v>
      </c>
      <c r="N269" s="2" t="str">
        <f>HYPERLINK("http://www.epingalert.org/#/details/G/SPS/N/JPN/458/Rev.1")</f>
        <v>http://www.epingalert.org/#/details/G/SPS/N/JPN/458/Rev.1</v>
      </c>
      <c r="O269" s="2"/>
    </row>
    <row r="270" spans="1:15" ht="240" customHeight="1" outlineLevel="1" x14ac:dyDescent="0.25">
      <c r="A270" s="2" t="s">
        <v>115</v>
      </c>
      <c r="B270" s="2" t="s">
        <v>6939</v>
      </c>
      <c r="C270" s="2" t="s">
        <v>6940</v>
      </c>
      <c r="D270" s="2" t="s">
        <v>6941</v>
      </c>
      <c r="E270" s="3">
        <v>42584</v>
      </c>
      <c r="F270" s="2" t="s">
        <v>6942</v>
      </c>
      <c r="G270" s="2" t="s">
        <v>6943</v>
      </c>
      <c r="H270" s="2" t="s">
        <v>2425</v>
      </c>
      <c r="I270" s="2" t="s">
        <v>6944</v>
      </c>
      <c r="J270" s="3">
        <v>42644</v>
      </c>
      <c r="K270" s="2" t="str">
        <f>HYPERLINK("https://docs.wto.org/imrd/directdoc.asp?DDFDocuments/t/G/SPS/NJPN467.DOC")</f>
        <v>https://docs.wto.org/imrd/directdoc.asp?DDFDocuments/t/G/SPS/NJPN467.DOC</v>
      </c>
      <c r="L270" s="2" t="str">
        <f>HYPERLINK("https://docs.wto.org/imrd/directdoc.asp?DDFDocuments/u/G/SPS/NJPN467.DOC")</f>
        <v>https://docs.wto.org/imrd/directdoc.asp?DDFDocuments/u/G/SPS/NJPN467.DOC</v>
      </c>
      <c r="M270" s="2" t="str">
        <f>HYPERLINK("https://docs.wto.org/imrd/directdoc.asp?DDFDocuments/v/G/SPS/NJPN467.DOC")</f>
        <v>https://docs.wto.org/imrd/directdoc.asp?DDFDocuments/v/G/SPS/NJPN467.DOC</v>
      </c>
      <c r="N270" s="2" t="str">
        <f>HYPERLINK("http://www.epingalert.org/#/details/G/SPS/N/JPN/467")</f>
        <v>http://www.epingalert.org/#/details/G/SPS/N/JPN/467</v>
      </c>
      <c r="O270" s="2"/>
    </row>
    <row r="271" spans="1:15" ht="240" customHeight="1" outlineLevel="1" x14ac:dyDescent="0.25">
      <c r="A271" s="2" t="s">
        <v>115</v>
      </c>
      <c r="B271" s="2" t="s">
        <v>6945</v>
      </c>
      <c r="C271" s="2" t="s">
        <v>6940</v>
      </c>
      <c r="D271" s="2" t="s">
        <v>6946</v>
      </c>
      <c r="E271" s="3">
        <v>42584</v>
      </c>
      <c r="F271" s="2" t="s">
        <v>6775</v>
      </c>
      <c r="G271" s="2" t="s">
        <v>6947</v>
      </c>
      <c r="H271" s="2" t="s">
        <v>2425</v>
      </c>
      <c r="I271" s="2" t="s">
        <v>2499</v>
      </c>
      <c r="J271" s="3">
        <v>42644</v>
      </c>
      <c r="K271" s="2" t="str">
        <f>HYPERLINK("https://docs.wto.org/imrd/directdoc.asp?DDFDocuments/t/G/SPS/NJPN468.DOC")</f>
        <v>https://docs.wto.org/imrd/directdoc.asp?DDFDocuments/t/G/SPS/NJPN468.DOC</v>
      </c>
      <c r="L271" s="2" t="str">
        <f>HYPERLINK("https://docs.wto.org/imrd/directdoc.asp?DDFDocuments/u/G/SPS/NJPN468.DOC")</f>
        <v>https://docs.wto.org/imrd/directdoc.asp?DDFDocuments/u/G/SPS/NJPN468.DOC</v>
      </c>
      <c r="M271" s="2" t="str">
        <f>HYPERLINK("https://docs.wto.org/imrd/directdoc.asp?DDFDocuments/v/G/SPS/NJPN468.DOC")</f>
        <v>https://docs.wto.org/imrd/directdoc.asp?DDFDocuments/v/G/SPS/NJPN468.DOC</v>
      </c>
      <c r="N271" s="2" t="str">
        <f>HYPERLINK("http://www.epingalert.org/#/details/G/SPS/N/JPN/468")</f>
        <v>http://www.epingalert.org/#/details/G/SPS/N/JPN/468</v>
      </c>
      <c r="O271" s="2"/>
    </row>
    <row r="272" spans="1:15" ht="240" customHeight="1" outlineLevel="1" x14ac:dyDescent="0.25">
      <c r="A272" s="2" t="s">
        <v>115</v>
      </c>
      <c r="B272" s="2" t="s">
        <v>6948</v>
      </c>
      <c r="C272" s="2" t="s">
        <v>6940</v>
      </c>
      <c r="D272" s="2" t="s">
        <v>6949</v>
      </c>
      <c r="E272" s="3">
        <v>42584</v>
      </c>
      <c r="F272" s="2" t="s">
        <v>6950</v>
      </c>
      <c r="G272" s="2" t="s">
        <v>6951</v>
      </c>
      <c r="H272" s="2" t="s">
        <v>2425</v>
      </c>
      <c r="I272" s="2" t="s">
        <v>2453</v>
      </c>
      <c r="J272" s="3">
        <v>42644</v>
      </c>
      <c r="K272" s="2" t="str">
        <f>HYPERLINK("https://docs.wto.org/imrd/directdoc.asp?DDFDocuments/t/G/SPS/NJPN466.DOC")</f>
        <v>https://docs.wto.org/imrd/directdoc.asp?DDFDocuments/t/G/SPS/NJPN466.DOC</v>
      </c>
      <c r="L272" s="2" t="str">
        <f>HYPERLINK("https://docs.wto.org/imrd/directdoc.asp?DDFDocuments/u/G/SPS/NJPN466.DOC")</f>
        <v>https://docs.wto.org/imrd/directdoc.asp?DDFDocuments/u/G/SPS/NJPN466.DOC</v>
      </c>
      <c r="M272" s="2" t="str">
        <f>HYPERLINK("https://docs.wto.org/imrd/directdoc.asp?DDFDocuments/v/G/SPS/NJPN466.DOC")</f>
        <v>https://docs.wto.org/imrd/directdoc.asp?DDFDocuments/v/G/SPS/NJPN466.DOC</v>
      </c>
      <c r="N272" s="2" t="str">
        <f>HYPERLINK("http://www.epingalert.org/#/details/G/SPS/N/JPN/466")</f>
        <v>http://www.epingalert.org/#/details/G/SPS/N/JPN/466</v>
      </c>
      <c r="O272" s="2"/>
    </row>
    <row r="273" spans="1:15" ht="240" customHeight="1" outlineLevel="1" x14ac:dyDescent="0.25">
      <c r="A273" s="2" t="s">
        <v>115</v>
      </c>
      <c r="B273" s="2" t="s">
        <v>6952</v>
      </c>
      <c r="C273" s="2" t="s">
        <v>6940</v>
      </c>
      <c r="D273" s="2" t="s">
        <v>6953</v>
      </c>
      <c r="E273" s="3">
        <v>42584</v>
      </c>
      <c r="F273" s="2" t="s">
        <v>6775</v>
      </c>
      <c r="G273" s="2" t="s">
        <v>6954</v>
      </c>
      <c r="H273" s="2" t="s">
        <v>2425</v>
      </c>
      <c r="I273" s="2" t="s">
        <v>2499</v>
      </c>
      <c r="J273" s="3">
        <v>42644</v>
      </c>
      <c r="K273" s="2" t="str">
        <f>HYPERLINK("https://docs.wto.org/imrd/directdoc.asp?DDFDocuments/t/G/SPS/NJPN470.DOC")</f>
        <v>https://docs.wto.org/imrd/directdoc.asp?DDFDocuments/t/G/SPS/NJPN470.DOC</v>
      </c>
      <c r="L273" s="2" t="str">
        <f>HYPERLINK("https://docs.wto.org/imrd/directdoc.asp?DDFDocuments/u/G/SPS/NJPN470.DOC")</f>
        <v>https://docs.wto.org/imrd/directdoc.asp?DDFDocuments/u/G/SPS/NJPN470.DOC</v>
      </c>
      <c r="M273" s="2" t="str">
        <f>HYPERLINK("https://docs.wto.org/imrd/directdoc.asp?DDFDocuments/v/G/SPS/NJPN470.DOC")</f>
        <v>https://docs.wto.org/imrd/directdoc.asp?DDFDocuments/v/G/SPS/NJPN470.DOC</v>
      </c>
      <c r="N273" s="2" t="str">
        <f>HYPERLINK("http://www.epingalert.org/#/details/G/SPS/N/JPN/470")</f>
        <v>http://www.epingalert.org/#/details/G/SPS/N/JPN/470</v>
      </c>
      <c r="O273" s="2"/>
    </row>
    <row r="274" spans="1:15" ht="240" customHeight="1" outlineLevel="1" x14ac:dyDescent="0.25">
      <c r="A274" s="2" t="s">
        <v>115</v>
      </c>
      <c r="B274" s="2" t="s">
        <v>6955</v>
      </c>
      <c r="C274" s="2" t="s">
        <v>6940</v>
      </c>
      <c r="D274" s="2" t="s">
        <v>6956</v>
      </c>
      <c r="E274" s="3">
        <v>42584</v>
      </c>
      <c r="F274" s="2" t="s">
        <v>6775</v>
      </c>
      <c r="G274" s="2" t="s">
        <v>6957</v>
      </c>
      <c r="H274" s="2" t="s">
        <v>2425</v>
      </c>
      <c r="I274" s="2" t="s">
        <v>2499</v>
      </c>
      <c r="J274" s="3">
        <v>42644</v>
      </c>
      <c r="K274" s="2" t="str">
        <f>HYPERLINK("https://docs.wto.org/imrd/directdoc.asp?DDFDocuments/t/G/SPS/NJPN469.DOC")</f>
        <v>https://docs.wto.org/imrd/directdoc.asp?DDFDocuments/t/G/SPS/NJPN469.DOC</v>
      </c>
      <c r="L274" s="2" t="str">
        <f>HYPERLINK("https://docs.wto.org/imrd/directdoc.asp?DDFDocuments/u/G/SPS/NJPN469.DOC")</f>
        <v>https://docs.wto.org/imrd/directdoc.asp?DDFDocuments/u/G/SPS/NJPN469.DOC</v>
      </c>
      <c r="M274" s="2" t="str">
        <f>HYPERLINK("https://docs.wto.org/imrd/directdoc.asp?DDFDocuments/v/G/SPS/NJPN469.DOC")</f>
        <v>https://docs.wto.org/imrd/directdoc.asp?DDFDocuments/v/G/SPS/NJPN469.DOC</v>
      </c>
      <c r="N274" s="2" t="str">
        <f>HYPERLINK("http://www.epingalert.org/#/details/G/SPS/N/JPN/469")</f>
        <v>http://www.epingalert.org/#/details/G/SPS/N/JPN/469</v>
      </c>
      <c r="O274" s="2"/>
    </row>
    <row r="275" spans="1:15" ht="240" customHeight="1" outlineLevel="1" x14ac:dyDescent="0.25">
      <c r="A275" s="2" t="s">
        <v>115</v>
      </c>
      <c r="B275" s="2" t="s">
        <v>6958</v>
      </c>
      <c r="C275" s="2" t="s">
        <v>6935</v>
      </c>
      <c r="D275" s="2" t="s">
        <v>6959</v>
      </c>
      <c r="E275" s="3">
        <v>42584</v>
      </c>
      <c r="F275" s="2" t="s">
        <v>6960</v>
      </c>
      <c r="G275" s="2" t="s">
        <v>6961</v>
      </c>
      <c r="H275" s="2" t="s">
        <v>2425</v>
      </c>
      <c r="I275" s="2" t="s">
        <v>2453</v>
      </c>
      <c r="J275" s="3">
        <v>42644</v>
      </c>
      <c r="K275" s="2" t="str">
        <f>HYPERLINK("https://docs.wto.org/imrd/directdoc.asp?DDFDocuments/t/G/SPS/NJPN435R1.DOC")</f>
        <v>https://docs.wto.org/imrd/directdoc.asp?DDFDocuments/t/G/SPS/NJPN435R1.DOC</v>
      </c>
      <c r="L275" s="2" t="str">
        <f>HYPERLINK("https://docs.wto.org/imrd/directdoc.asp?DDFDocuments/u/G/SPS/NJPN435R1.DOC")</f>
        <v>https://docs.wto.org/imrd/directdoc.asp?DDFDocuments/u/G/SPS/NJPN435R1.DOC</v>
      </c>
      <c r="M275" s="2" t="str">
        <f>HYPERLINK("https://docs.wto.org/imrd/directdoc.asp?DDFDocuments/v/G/SPS/NJPN435R1.DOC")</f>
        <v>https://docs.wto.org/imrd/directdoc.asp?DDFDocuments/v/G/SPS/NJPN435R1.DOC</v>
      </c>
      <c r="N275" s="2" t="str">
        <f>HYPERLINK("http://www.epingalert.org/#/details/G/SPS/N/JPN/435/Rev.1")</f>
        <v>http://www.epingalert.org/#/details/G/SPS/N/JPN/435/Rev.1</v>
      </c>
      <c r="O275" s="2"/>
    </row>
    <row r="276" spans="1:15" ht="240" customHeight="1" outlineLevel="1" x14ac:dyDescent="0.25">
      <c r="A276" s="2" t="s">
        <v>2320</v>
      </c>
      <c r="B276" s="2" t="s">
        <v>2719</v>
      </c>
      <c r="C276" s="2" t="s">
        <v>2720</v>
      </c>
      <c r="D276" s="2" t="s">
        <v>2721</v>
      </c>
      <c r="E276" s="3">
        <v>42583</v>
      </c>
      <c r="F276" s="2" t="s">
        <v>2722</v>
      </c>
      <c r="G276" s="2" t="s">
        <v>353</v>
      </c>
      <c r="H276" s="2" t="s">
        <v>2425</v>
      </c>
      <c r="I276" s="2" t="s">
        <v>2597</v>
      </c>
      <c r="J276" s="3">
        <v>42643</v>
      </c>
      <c r="K276" s="2" t="str">
        <f>HYPERLINK("https://docs.wto.org/imrd/directdoc.asp?DDFDocuments/t/G/SPS/NDEU11.DOC")</f>
        <v>https://docs.wto.org/imrd/directdoc.asp?DDFDocuments/t/G/SPS/NDEU11.DOC</v>
      </c>
      <c r="L276" s="2" t="str">
        <f>HYPERLINK("https://docs.wto.org/imrd/directdoc.asp?DDFDocuments/u/G/SPS/NDEU11.DOC")</f>
        <v>https://docs.wto.org/imrd/directdoc.asp?DDFDocuments/u/G/SPS/NDEU11.DOC</v>
      </c>
      <c r="M276" s="2" t="str">
        <f>HYPERLINK("https://docs.wto.org/imrd/directdoc.asp?DDFDocuments/v/G/SPS/NDEU11.DOC")</f>
        <v>https://docs.wto.org/imrd/directdoc.asp?DDFDocuments/v/G/SPS/NDEU11.DOC</v>
      </c>
      <c r="N276" s="2" t="str">
        <f>HYPERLINK("http://www.epingalert.org/#/details/G/SPS/N/DEU/11")</f>
        <v>http://www.epingalert.org/#/details/G/SPS/N/DEU/11</v>
      </c>
      <c r="O276" s="2"/>
    </row>
    <row r="277" spans="1:15" ht="240" customHeight="1" outlineLevel="1" x14ac:dyDescent="0.25">
      <c r="A277" s="2" t="s">
        <v>18</v>
      </c>
      <c r="B277" s="2" t="s">
        <v>6962</v>
      </c>
      <c r="C277" s="2" t="s">
        <v>6963</v>
      </c>
      <c r="D277" s="2" t="s">
        <v>6964</v>
      </c>
      <c r="E277" s="3">
        <v>42583</v>
      </c>
      <c r="F277" s="2" t="s">
        <v>6965</v>
      </c>
      <c r="G277" s="2" t="s">
        <v>6810</v>
      </c>
      <c r="H277" s="2" t="s">
        <v>2467</v>
      </c>
      <c r="I277" s="2" t="s">
        <v>2467</v>
      </c>
      <c r="J277" s="3">
        <v>42593</v>
      </c>
      <c r="K277" s="2" t="str">
        <f>HYPERLINK("https://docs.wto.org/imrd/directdoc.asp?DDFDocuments/t/G/SPS/NUSA2876.DOC")</f>
        <v>https://docs.wto.org/imrd/directdoc.asp?DDFDocuments/t/G/SPS/NUSA2876.DOC</v>
      </c>
      <c r="L277" s="2" t="str">
        <f>HYPERLINK("https://docs.wto.org/imrd/directdoc.asp?DDFDocuments/u/G/SPS/NUSA2876.DOC")</f>
        <v>https://docs.wto.org/imrd/directdoc.asp?DDFDocuments/u/G/SPS/NUSA2876.DOC</v>
      </c>
      <c r="M277" s="2" t="str">
        <f>HYPERLINK("https://docs.wto.org/imrd/directdoc.asp?DDFDocuments/v/G/SPS/NUSA2876.DOC")</f>
        <v>https://docs.wto.org/imrd/directdoc.asp?DDFDocuments/v/G/SPS/NUSA2876.DOC</v>
      </c>
      <c r="N277" s="2" t="str">
        <f>HYPERLINK("http://www.epingalert.org/#/details/G/SPS/N/USA/2876")</f>
        <v>http://www.epingalert.org/#/details/G/SPS/N/USA/2876</v>
      </c>
      <c r="O277" s="2"/>
    </row>
    <row r="278" spans="1:15" ht="240" customHeight="1" outlineLevel="1" x14ac:dyDescent="0.25">
      <c r="A278" s="2" t="s">
        <v>12</v>
      </c>
      <c r="B278" s="2" t="s">
        <v>2723</v>
      </c>
      <c r="C278" s="2"/>
      <c r="D278" s="2"/>
      <c r="E278" s="3">
        <v>42578</v>
      </c>
      <c r="F278" s="2" t="s">
        <v>2724</v>
      </c>
      <c r="G278" s="2" t="s">
        <v>2725</v>
      </c>
      <c r="H278" s="2" t="s">
        <v>2654</v>
      </c>
      <c r="I278" s="2" t="s">
        <v>2444</v>
      </c>
      <c r="J278" s="2"/>
      <c r="K278" s="2" t="str">
        <f>HYPERLINK("https://docs.wto.org/imrd/directdoc.asp?DDFDocuments/t/G/SPS/NEU155A1.DOC")</f>
        <v>https://docs.wto.org/imrd/directdoc.asp?DDFDocuments/t/G/SPS/NEU155A1.DOC</v>
      </c>
      <c r="L278" s="2" t="str">
        <f>HYPERLINK("https://docs.wto.org/imrd/directdoc.asp?DDFDocuments/u/G/SPS/NEU155A1.DOC")</f>
        <v>https://docs.wto.org/imrd/directdoc.asp?DDFDocuments/u/G/SPS/NEU155A1.DOC</v>
      </c>
      <c r="M278" s="2" t="str">
        <f>HYPERLINK("https://docs.wto.org/imrd/directdoc.asp?DDFDocuments/v/G/SPS/NEU155A1.DOC")</f>
        <v>https://docs.wto.org/imrd/directdoc.asp?DDFDocuments/v/G/SPS/NEU155A1.DOC</v>
      </c>
      <c r="N278" s="2" t="str">
        <f>HYPERLINK("http://www.epingalert.org/#/details/G/SPS/N/EU/155/Add.1")</f>
        <v>http://www.epingalert.org/#/details/G/SPS/N/EU/155/Add.1</v>
      </c>
      <c r="O278" s="2"/>
    </row>
    <row r="279" spans="1:15" ht="240" customHeight="1" outlineLevel="1" x14ac:dyDescent="0.25">
      <c r="A279" s="2" t="s">
        <v>77</v>
      </c>
      <c r="B279" s="2" t="s">
        <v>2726</v>
      </c>
      <c r="C279" s="2" t="s">
        <v>2727</v>
      </c>
      <c r="D279" s="2" t="s">
        <v>2728</v>
      </c>
      <c r="E279" s="3">
        <v>42577</v>
      </c>
      <c r="F279" s="2" t="s">
        <v>2729</v>
      </c>
      <c r="G279" s="2" t="s">
        <v>2661</v>
      </c>
      <c r="H279" s="2" t="s">
        <v>2425</v>
      </c>
      <c r="I279" s="2" t="s">
        <v>2558</v>
      </c>
      <c r="J279" s="3">
        <v>42637</v>
      </c>
      <c r="K279" s="2" t="str">
        <f>HYPERLINK("https://docs.wto.org/imrd/directdoc.asp?DDFDocuments/t/G/SPS/NTPKM405.DOC")</f>
        <v>https://docs.wto.org/imrd/directdoc.asp?DDFDocuments/t/G/SPS/NTPKM405.DOC</v>
      </c>
      <c r="L279" s="2" t="str">
        <f>HYPERLINK("https://docs.wto.org/imrd/directdoc.asp?DDFDocuments/u/G/SPS/NTPKM405.DOC")</f>
        <v>https://docs.wto.org/imrd/directdoc.asp?DDFDocuments/u/G/SPS/NTPKM405.DOC</v>
      </c>
      <c r="M279" s="2" t="str">
        <f>HYPERLINK("https://docs.wto.org/imrd/directdoc.asp?DDFDocuments/v/G/SPS/NTPKM405.DOC")</f>
        <v>https://docs.wto.org/imrd/directdoc.asp?DDFDocuments/v/G/SPS/NTPKM405.DOC</v>
      </c>
      <c r="N279" s="2" t="str">
        <f>HYPERLINK("http://www.epingalert.org/#/details/G/SPS/N/TPKM/405")</f>
        <v>http://www.epingalert.org/#/details/G/SPS/N/TPKM/405</v>
      </c>
      <c r="O279" s="2"/>
    </row>
    <row r="280" spans="1:15" ht="240" customHeight="1" outlineLevel="1" x14ac:dyDescent="0.25">
      <c r="A280" s="2" t="s">
        <v>77</v>
      </c>
      <c r="B280" s="2" t="s">
        <v>6590</v>
      </c>
      <c r="C280" s="2" t="s">
        <v>6591</v>
      </c>
      <c r="D280" s="2" t="s">
        <v>6592</v>
      </c>
      <c r="E280" s="3">
        <v>42577</v>
      </c>
      <c r="F280" s="2" t="s">
        <v>6577</v>
      </c>
      <c r="G280" s="2" t="s">
        <v>6578</v>
      </c>
      <c r="H280" s="2" t="s">
        <v>2425</v>
      </c>
      <c r="I280" s="2" t="s">
        <v>2426</v>
      </c>
      <c r="J280" s="3">
        <v>42637</v>
      </c>
      <c r="K280" s="2" t="str">
        <f>HYPERLINK("https://docs.wto.org/imrd/directdoc.asp?DDFDocuments/t/G/SPS/NTPKM406.DOC")</f>
        <v>https://docs.wto.org/imrd/directdoc.asp?DDFDocuments/t/G/SPS/NTPKM406.DOC</v>
      </c>
      <c r="L280" s="2" t="str">
        <f>HYPERLINK("https://docs.wto.org/imrd/directdoc.asp?DDFDocuments/u/G/SPS/NTPKM406.DOC")</f>
        <v>https://docs.wto.org/imrd/directdoc.asp?DDFDocuments/u/G/SPS/NTPKM406.DOC</v>
      </c>
      <c r="M280" s="2" t="str">
        <f>HYPERLINK("https://docs.wto.org/imrd/directdoc.asp?DDFDocuments/v/G/SPS/NTPKM406.DOC")</f>
        <v>https://docs.wto.org/imrd/directdoc.asp?DDFDocuments/v/G/SPS/NTPKM406.DOC</v>
      </c>
      <c r="N280" s="2" t="str">
        <f>HYPERLINK("http://www.epingalert.org/#/details/G/SPS/N/TPKM/406")</f>
        <v>http://www.epingalert.org/#/details/G/SPS/N/TPKM/406</v>
      </c>
      <c r="O280" s="2"/>
    </row>
    <row r="281" spans="1:15" ht="240" customHeight="1" outlineLevel="1" x14ac:dyDescent="0.25">
      <c r="A281" s="2" t="s">
        <v>121</v>
      </c>
      <c r="B281" s="2" t="s">
        <v>6966</v>
      </c>
      <c r="C281" s="2" t="s">
        <v>6967</v>
      </c>
      <c r="D281" s="2" t="s">
        <v>6808</v>
      </c>
      <c r="E281" s="3">
        <v>42577</v>
      </c>
      <c r="F281" s="2" t="s">
        <v>6809</v>
      </c>
      <c r="G281" s="2" t="s">
        <v>6968</v>
      </c>
      <c r="H281" s="2" t="s">
        <v>2467</v>
      </c>
      <c r="I281" s="2" t="s">
        <v>6811</v>
      </c>
      <c r="J281" s="2"/>
      <c r="K281" s="2" t="str">
        <f>HYPERLINK("https://docs.wto.org/imrd/directdoc.asp?DDFDocuments/t/G/SPS/NIND150.DOC")</f>
        <v>https://docs.wto.org/imrd/directdoc.asp?DDFDocuments/t/G/SPS/NIND150.DOC</v>
      </c>
      <c r="L281" s="2" t="str">
        <f>HYPERLINK("https://docs.wto.org/imrd/directdoc.asp?DDFDocuments/u/G/SPS/NIND150.DOC")</f>
        <v>https://docs.wto.org/imrd/directdoc.asp?DDFDocuments/u/G/SPS/NIND150.DOC</v>
      </c>
      <c r="M281" s="2" t="str">
        <f>HYPERLINK("https://docs.wto.org/imrd/directdoc.asp?DDFDocuments/v/G/SPS/NIND150.DOC")</f>
        <v>https://docs.wto.org/imrd/directdoc.asp?DDFDocuments/v/G/SPS/NIND150.DOC</v>
      </c>
      <c r="N281" s="2" t="str">
        <f>HYPERLINK("http://www.epingalert.org/#/details/G/SPS/N/IND/150")</f>
        <v>http://www.epingalert.org/#/details/G/SPS/N/IND/150</v>
      </c>
      <c r="O281" s="2"/>
    </row>
    <row r="282" spans="1:15" ht="240" customHeight="1" outlineLevel="1" x14ac:dyDescent="0.25">
      <c r="A282" s="2" t="s">
        <v>25</v>
      </c>
      <c r="B282" s="2" t="s">
        <v>2733</v>
      </c>
      <c r="C282" s="2" t="s">
        <v>2734</v>
      </c>
      <c r="D282" s="2" t="s">
        <v>2735</v>
      </c>
      <c r="E282" s="3">
        <v>42576</v>
      </c>
      <c r="F282" s="2" t="s">
        <v>210</v>
      </c>
      <c r="G282" s="2"/>
      <c r="H282" s="2" t="s">
        <v>2425</v>
      </c>
      <c r="I282" s="2" t="s">
        <v>2461</v>
      </c>
      <c r="J282" s="3">
        <v>42615</v>
      </c>
      <c r="K282" s="2" t="str">
        <f>HYPERLINK("https://docs.wto.org/imrd/directdoc.asp?DDFDocuments/t/G/SPS/NKOR542.DOC")</f>
        <v>https://docs.wto.org/imrd/directdoc.asp?DDFDocuments/t/G/SPS/NKOR542.DOC</v>
      </c>
      <c r="L282" s="2" t="str">
        <f>HYPERLINK("https://docs.wto.org/imrd/directdoc.asp?DDFDocuments/u/G/SPS/NKOR542.DOC")</f>
        <v>https://docs.wto.org/imrd/directdoc.asp?DDFDocuments/u/G/SPS/NKOR542.DOC</v>
      </c>
      <c r="M282" s="2" t="str">
        <f>HYPERLINK("https://docs.wto.org/imrd/directdoc.asp?DDFDocuments/v/G/SPS/NKOR542.DOC")</f>
        <v>https://docs.wto.org/imrd/directdoc.asp?DDFDocuments/v/G/SPS/NKOR542.DOC</v>
      </c>
      <c r="N282" s="2" t="str">
        <f>HYPERLINK("http://www.epingalert.org/#/details/G/SPS/N/KOR/542")</f>
        <v>http://www.epingalert.org/#/details/G/SPS/N/KOR/542</v>
      </c>
      <c r="O282" s="2"/>
    </row>
    <row r="283" spans="1:15" ht="240" customHeight="1" outlineLevel="1" x14ac:dyDescent="0.25">
      <c r="A283" s="2" t="s">
        <v>18</v>
      </c>
      <c r="B283" s="2" t="s">
        <v>2730</v>
      </c>
      <c r="C283" s="2"/>
      <c r="D283" s="2"/>
      <c r="E283" s="3">
        <v>42576</v>
      </c>
      <c r="F283" s="2" t="s">
        <v>2731</v>
      </c>
      <c r="G283" s="2" t="s">
        <v>2732</v>
      </c>
      <c r="H283" s="2" t="s">
        <v>2425</v>
      </c>
      <c r="I283" s="2" t="s">
        <v>2444</v>
      </c>
      <c r="J283" s="2"/>
      <c r="K283" s="2" t="str">
        <f>HYPERLINK("https://docs.wto.org/imrd/directdoc.asp?DDFDocuments/t/G/SPS/NUSA2577A1.DOC")</f>
        <v>https://docs.wto.org/imrd/directdoc.asp?DDFDocuments/t/G/SPS/NUSA2577A1.DOC</v>
      </c>
      <c r="L283" s="2" t="str">
        <f>HYPERLINK("https://docs.wto.org/imrd/directdoc.asp?DDFDocuments/u/G/SPS/NUSA2577A1.DOC")</f>
        <v>https://docs.wto.org/imrd/directdoc.asp?DDFDocuments/u/G/SPS/NUSA2577A1.DOC</v>
      </c>
      <c r="M283" s="2" t="str">
        <f>HYPERLINK("https://docs.wto.org/imrd/directdoc.asp?DDFDocuments/v/G/SPS/NUSA2577A1.DOC")</f>
        <v>https://docs.wto.org/imrd/directdoc.asp?DDFDocuments/v/G/SPS/NUSA2577A1.DOC</v>
      </c>
      <c r="N283" s="2" t="str">
        <f>HYPERLINK("http://www.epingalert.org/#/details/G/SPS/N/USA/2577/Add.1")</f>
        <v>http://www.epingalert.org/#/details/G/SPS/N/USA/2577/Add.1</v>
      </c>
      <c r="O283" s="2"/>
    </row>
    <row r="284" spans="1:15" ht="240" customHeight="1" outlineLevel="1" x14ac:dyDescent="0.25">
      <c r="A284" s="2" t="s">
        <v>1908</v>
      </c>
      <c r="B284" s="2" t="s">
        <v>6969</v>
      </c>
      <c r="C284" s="2"/>
      <c r="D284" s="2"/>
      <c r="E284" s="3">
        <v>42576</v>
      </c>
      <c r="F284" s="2" t="s">
        <v>6970</v>
      </c>
      <c r="G284" s="2" t="s">
        <v>6971</v>
      </c>
      <c r="H284" s="2" t="s">
        <v>2425</v>
      </c>
      <c r="I284" s="2" t="s">
        <v>2444</v>
      </c>
      <c r="J284" s="2"/>
      <c r="K284" s="2" t="str">
        <f>HYPERLINK("https://docs.wto.org/imrd/directdoc.asp?DDFDocuments/t/G/SPS/NCAN1013A1.DOC")</f>
        <v>https://docs.wto.org/imrd/directdoc.asp?DDFDocuments/t/G/SPS/NCAN1013A1.DOC</v>
      </c>
      <c r="L284" s="2" t="str">
        <f>HYPERLINK("https://docs.wto.org/imrd/directdoc.asp?DDFDocuments/u/G/SPS/NCAN1013A1.DOC")</f>
        <v>https://docs.wto.org/imrd/directdoc.asp?DDFDocuments/u/G/SPS/NCAN1013A1.DOC</v>
      </c>
      <c r="M284" s="2" t="str">
        <f>HYPERLINK("https://docs.wto.org/imrd/directdoc.asp?DDFDocuments/v/G/SPS/NCAN1013A1.DOC")</f>
        <v>https://docs.wto.org/imrd/directdoc.asp?DDFDocuments/v/G/SPS/NCAN1013A1.DOC</v>
      </c>
      <c r="N284" s="2" t="str">
        <f>HYPERLINK("http://www.epingalert.org/#/details/G/SPS/N/CAN/1013/Add.1")</f>
        <v>http://www.epingalert.org/#/details/G/SPS/N/CAN/1013/Add.1</v>
      </c>
      <c r="O284" s="2"/>
    </row>
    <row r="285" spans="1:15" ht="240" customHeight="1" outlineLevel="1" x14ac:dyDescent="0.25">
      <c r="A285" s="2" t="s">
        <v>25</v>
      </c>
      <c r="B285" s="2" t="s">
        <v>2736</v>
      </c>
      <c r="C285" s="2" t="s">
        <v>2737</v>
      </c>
      <c r="D285" s="2" t="s">
        <v>209</v>
      </c>
      <c r="E285" s="3">
        <v>42570</v>
      </c>
      <c r="F285" s="2" t="s">
        <v>210</v>
      </c>
      <c r="G285" s="2" t="s">
        <v>2738</v>
      </c>
      <c r="H285" s="2" t="s">
        <v>2425</v>
      </c>
      <c r="I285" s="2" t="s">
        <v>2558</v>
      </c>
      <c r="J285" s="3">
        <v>42630</v>
      </c>
      <c r="K285" s="2" t="str">
        <f>HYPERLINK("https://docs.wto.org/imrd/directdoc.asp?DDFDocuments/t/G/SPS/NKOR541.DOC")</f>
        <v>https://docs.wto.org/imrd/directdoc.asp?DDFDocuments/t/G/SPS/NKOR541.DOC</v>
      </c>
      <c r="L285" s="2" t="str">
        <f>HYPERLINK("https://docs.wto.org/imrd/directdoc.asp?DDFDocuments/u/G/SPS/NKOR541.DOC")</f>
        <v>https://docs.wto.org/imrd/directdoc.asp?DDFDocuments/u/G/SPS/NKOR541.DOC</v>
      </c>
      <c r="M285" s="2" t="str">
        <f>HYPERLINK("https://docs.wto.org/imrd/directdoc.asp?DDFDocuments/v/G/SPS/NKOR541.DOC")</f>
        <v>https://docs.wto.org/imrd/directdoc.asp?DDFDocuments/v/G/SPS/NKOR541.DOC</v>
      </c>
      <c r="N285" s="2" t="str">
        <f>HYPERLINK("http://www.epingalert.org/#/details/G/SPS/N/KOR/541")</f>
        <v>http://www.epingalert.org/#/details/G/SPS/N/KOR/541</v>
      </c>
      <c r="O285" s="2"/>
    </row>
    <row r="286" spans="1:15" ht="240" customHeight="1" outlineLevel="1" x14ac:dyDescent="0.25">
      <c r="A286" s="2" t="s">
        <v>6822</v>
      </c>
      <c r="B286" s="2" t="s">
        <v>6972</v>
      </c>
      <c r="C286" s="2" t="s">
        <v>6973</v>
      </c>
      <c r="D286" s="2" t="s">
        <v>6974</v>
      </c>
      <c r="E286" s="3">
        <v>42570</v>
      </c>
      <c r="F286" s="2" t="s">
        <v>6975</v>
      </c>
      <c r="G286" s="2" t="s">
        <v>6976</v>
      </c>
      <c r="H286" s="2" t="s">
        <v>2573</v>
      </c>
      <c r="I286" s="2" t="s">
        <v>2461</v>
      </c>
      <c r="J286" s="3">
        <v>42630</v>
      </c>
      <c r="K286" s="2" t="str">
        <f>HYPERLINK("https://docs.wto.org/imrd/directdoc.asp?DDFDocuments/t/G/SPS/NDOM17R1.DOC")</f>
        <v>https://docs.wto.org/imrd/directdoc.asp?DDFDocuments/t/G/SPS/NDOM17R1.DOC</v>
      </c>
      <c r="L286" s="2" t="str">
        <f>HYPERLINK("https://docs.wto.org/imrd/directdoc.asp?DDFDocuments/u/G/SPS/NDOM17R1.DOC")</f>
        <v>https://docs.wto.org/imrd/directdoc.asp?DDFDocuments/u/G/SPS/NDOM17R1.DOC</v>
      </c>
      <c r="M286" s="2" t="str">
        <f>HYPERLINK("https://docs.wto.org/imrd/directdoc.asp?DDFDocuments/v/G/SPS/NDOM17R1.DOC")</f>
        <v>https://docs.wto.org/imrd/directdoc.asp?DDFDocuments/v/G/SPS/NDOM17R1.DOC</v>
      </c>
      <c r="N286" s="2" t="str">
        <f>HYPERLINK("http://www.epingalert.org/#/details/G/SPS/N/DOM/17/Rev.1")</f>
        <v>http://www.epingalert.org/#/details/G/SPS/N/DOM/17/Rev.1</v>
      </c>
      <c r="O286" s="2"/>
    </row>
    <row r="287" spans="1:15" ht="240" customHeight="1" outlineLevel="1" x14ac:dyDescent="0.25">
      <c r="A287" s="2" t="s">
        <v>12</v>
      </c>
      <c r="B287" s="2" t="s">
        <v>2739</v>
      </c>
      <c r="C287" s="2" t="s">
        <v>2740</v>
      </c>
      <c r="D287" s="2" t="s">
        <v>2741</v>
      </c>
      <c r="E287" s="3">
        <v>42569</v>
      </c>
      <c r="F287" s="2" t="s">
        <v>2742</v>
      </c>
      <c r="G287" s="2" t="s">
        <v>2743</v>
      </c>
      <c r="H287" s="2" t="s">
        <v>2425</v>
      </c>
      <c r="I287" s="2" t="s">
        <v>2444</v>
      </c>
      <c r="J287" s="3">
        <v>42629</v>
      </c>
      <c r="K287" s="2" t="str">
        <f>HYPERLINK("https://docs.wto.org/imrd/directdoc.asp?DDFDocuments/t/G/SPS/NEU161A1.DOC")</f>
        <v>https://docs.wto.org/imrd/directdoc.asp?DDFDocuments/t/G/SPS/NEU161A1.DOC</v>
      </c>
      <c r="L287" s="2" t="str">
        <f>HYPERLINK("https://docs.wto.org/imrd/directdoc.asp?DDFDocuments/u/G/SPS/NEU161A1.DOC")</f>
        <v>https://docs.wto.org/imrd/directdoc.asp?DDFDocuments/u/G/SPS/NEU161A1.DOC</v>
      </c>
      <c r="M287" s="2" t="str">
        <f>HYPERLINK("https://docs.wto.org/imrd/directdoc.asp?DDFDocuments/v/G/SPS/NEU161A1.DOC")</f>
        <v>https://docs.wto.org/imrd/directdoc.asp?DDFDocuments/v/G/SPS/NEU161A1.DOC</v>
      </c>
      <c r="N287" s="2" t="str">
        <f>HYPERLINK("http://www.epingalert.org/#/details/G/SPS/N/EU/161/Add.1")</f>
        <v>http://www.epingalert.org/#/details/G/SPS/N/EU/161/Add.1</v>
      </c>
      <c r="O287" s="2"/>
    </row>
    <row r="288" spans="1:15" ht="240" customHeight="1" outlineLevel="1" x14ac:dyDescent="0.25">
      <c r="A288" s="2" t="s">
        <v>18</v>
      </c>
      <c r="B288" s="2" t="s">
        <v>2744</v>
      </c>
      <c r="C288" s="2" t="s">
        <v>2745</v>
      </c>
      <c r="D288" s="2" t="s">
        <v>2746</v>
      </c>
      <c r="E288" s="3">
        <v>42569</v>
      </c>
      <c r="F288" s="2" t="s">
        <v>2747</v>
      </c>
      <c r="G288" s="2"/>
      <c r="H288" s="2" t="s">
        <v>2648</v>
      </c>
      <c r="I288" s="2" t="s">
        <v>2444</v>
      </c>
      <c r="J288" s="2"/>
      <c r="K288" s="2" t="str">
        <f>HYPERLINK("https://docs.wto.org/imrd/directdoc.asp?DDFDocuments/t/G/SPS/NUSA691A15.DOC")</f>
        <v>https://docs.wto.org/imrd/directdoc.asp?DDFDocuments/t/G/SPS/NUSA691A15.DOC</v>
      </c>
      <c r="L288" s="2" t="str">
        <f>HYPERLINK("https://docs.wto.org/imrd/directdoc.asp?DDFDocuments/u/G/SPS/NUSA691A15.DOC")</f>
        <v>https://docs.wto.org/imrd/directdoc.asp?DDFDocuments/u/G/SPS/NUSA691A15.DOC</v>
      </c>
      <c r="M288" s="2" t="str">
        <f>HYPERLINK("https://docs.wto.org/imrd/directdoc.asp?DDFDocuments/v/G/SPS/NUSA691A15.DOC")</f>
        <v>https://docs.wto.org/imrd/directdoc.asp?DDFDocuments/v/G/SPS/NUSA691A15.DOC</v>
      </c>
      <c r="N288" s="2" t="str">
        <f>HYPERLINK("http://www.epingalert.org/#/details/G/SPS/N/USA/691/Add.15")</f>
        <v>http://www.epingalert.org/#/details/G/SPS/N/USA/691/Add.15</v>
      </c>
      <c r="O288" s="2"/>
    </row>
    <row r="289" spans="1:15" ht="240" customHeight="1" outlineLevel="1" x14ac:dyDescent="0.25">
      <c r="A289" s="2" t="s">
        <v>12</v>
      </c>
      <c r="B289" s="2" t="s">
        <v>6977</v>
      </c>
      <c r="C289" s="2" t="s">
        <v>6978</v>
      </c>
      <c r="D289" s="2" t="s">
        <v>6979</v>
      </c>
      <c r="E289" s="3">
        <v>42569</v>
      </c>
      <c r="F289" s="2" t="s">
        <v>6980</v>
      </c>
      <c r="G289" s="2" t="s">
        <v>6981</v>
      </c>
      <c r="H289" s="2" t="s">
        <v>6982</v>
      </c>
      <c r="I289" s="2" t="s">
        <v>2444</v>
      </c>
      <c r="J289" s="2"/>
      <c r="K289" s="2" t="str">
        <f>HYPERLINK("https://docs.wto.org/imrd/directdoc.asp?DDFDocuments/t/G/SPS/NEU143A1.DOC")</f>
        <v>https://docs.wto.org/imrd/directdoc.asp?DDFDocuments/t/G/SPS/NEU143A1.DOC</v>
      </c>
      <c r="L289" s="2" t="str">
        <f>HYPERLINK("https://docs.wto.org/imrd/directdoc.asp?DDFDocuments/u/G/SPS/NEU143A1.DOC")</f>
        <v>https://docs.wto.org/imrd/directdoc.asp?DDFDocuments/u/G/SPS/NEU143A1.DOC</v>
      </c>
      <c r="M289" s="2" t="str">
        <f>HYPERLINK("https://docs.wto.org/imrd/directdoc.asp?DDFDocuments/v/G/SPS/NEU143A1.DOC")</f>
        <v>https://docs.wto.org/imrd/directdoc.asp?DDFDocuments/v/G/SPS/NEU143A1.DOC</v>
      </c>
      <c r="N289" s="2" t="str">
        <f>HYPERLINK("http://www.epingalert.org/#/details/G/SPS/N/EU/143/Add.1")</f>
        <v>http://www.epingalert.org/#/details/G/SPS/N/EU/143/Add.1</v>
      </c>
      <c r="O289" s="2"/>
    </row>
    <row r="290" spans="1:15" ht="240" customHeight="1" outlineLevel="1" x14ac:dyDescent="0.25">
      <c r="A290" s="2" t="s">
        <v>37</v>
      </c>
      <c r="B290" s="2" t="s">
        <v>2750</v>
      </c>
      <c r="C290" s="2" t="s">
        <v>2751</v>
      </c>
      <c r="D290" s="2" t="s">
        <v>2752</v>
      </c>
      <c r="E290" s="3">
        <v>42565</v>
      </c>
      <c r="F290" s="2" t="s">
        <v>2753</v>
      </c>
      <c r="G290" s="2"/>
      <c r="H290" s="2" t="s">
        <v>2425</v>
      </c>
      <c r="I290" s="2" t="s">
        <v>2426</v>
      </c>
      <c r="J290" s="3">
        <v>42625</v>
      </c>
      <c r="K290" s="2" t="str">
        <f>HYPERLINK("https://docs.wto.org/imrd/directdoc.asp?DDFDocuments/t/G/SPS/NTUR74.DOC")</f>
        <v>https://docs.wto.org/imrd/directdoc.asp?DDFDocuments/t/G/SPS/NTUR74.DOC</v>
      </c>
      <c r="L290" s="2" t="str">
        <f>HYPERLINK("https://docs.wto.org/imrd/directdoc.asp?DDFDocuments/u/G/SPS/NTUR74.DOC")</f>
        <v>https://docs.wto.org/imrd/directdoc.asp?DDFDocuments/u/G/SPS/NTUR74.DOC</v>
      </c>
      <c r="M290" s="2" t="str">
        <f>HYPERLINK("https://docs.wto.org/imrd/directdoc.asp?DDFDocuments/v/G/SPS/NTUR74.DOC")</f>
        <v>https://docs.wto.org/imrd/directdoc.asp?DDFDocuments/v/G/SPS/NTUR74.DOC</v>
      </c>
      <c r="N290" s="2" t="str">
        <f>HYPERLINK("http://www.epingalert.org/#/details/G/SPS/N/TUR/74")</f>
        <v>http://www.epingalert.org/#/details/G/SPS/N/TUR/74</v>
      </c>
      <c r="O290" s="2"/>
    </row>
    <row r="291" spans="1:15" ht="240" customHeight="1" outlineLevel="1" x14ac:dyDescent="0.25">
      <c r="A291" s="2" t="s">
        <v>37</v>
      </c>
      <c r="B291" s="2" t="s">
        <v>2754</v>
      </c>
      <c r="C291" s="2" t="s">
        <v>2755</v>
      </c>
      <c r="D291" s="2" t="s">
        <v>2756</v>
      </c>
      <c r="E291" s="3">
        <v>42565</v>
      </c>
      <c r="F291" s="2" t="s">
        <v>2757</v>
      </c>
      <c r="G291" s="2" t="s">
        <v>2758</v>
      </c>
      <c r="H291" s="2" t="s">
        <v>2425</v>
      </c>
      <c r="I291" s="2" t="s">
        <v>2566</v>
      </c>
      <c r="J291" s="3">
        <v>42625</v>
      </c>
      <c r="K291" s="2" t="str">
        <f>HYPERLINK("https://docs.wto.org/imrd/directdoc.asp?DDFDocuments/t/G/SPS/NTUR73.DOC")</f>
        <v>https://docs.wto.org/imrd/directdoc.asp?DDFDocuments/t/G/SPS/NTUR73.DOC</v>
      </c>
      <c r="L291" s="2" t="str">
        <f>HYPERLINK("https://docs.wto.org/imrd/directdoc.asp?DDFDocuments/u/G/SPS/NTUR73.DOC")</f>
        <v>https://docs.wto.org/imrd/directdoc.asp?DDFDocuments/u/G/SPS/NTUR73.DOC</v>
      </c>
      <c r="M291" s="2" t="str">
        <f>HYPERLINK("https://docs.wto.org/imrd/directdoc.asp?DDFDocuments/v/G/SPS/NTUR73.DOC")</f>
        <v>https://docs.wto.org/imrd/directdoc.asp?DDFDocuments/v/G/SPS/NTUR73.DOC</v>
      </c>
      <c r="N291" s="2" t="str">
        <f>HYPERLINK("http://www.epingalert.org/#/details/G/SPS/N/TUR/73")</f>
        <v>http://www.epingalert.org/#/details/G/SPS/N/TUR/73</v>
      </c>
      <c r="O291" s="2"/>
    </row>
    <row r="292" spans="1:15" ht="240" customHeight="1" outlineLevel="1" x14ac:dyDescent="0.25">
      <c r="A292" s="2" t="s">
        <v>211</v>
      </c>
      <c r="B292" s="2" t="s">
        <v>2759</v>
      </c>
      <c r="C292" s="2" t="s">
        <v>2760</v>
      </c>
      <c r="D292" s="2" t="s">
        <v>2761</v>
      </c>
      <c r="E292" s="3">
        <v>42565</v>
      </c>
      <c r="F292" s="2" t="s">
        <v>2762</v>
      </c>
      <c r="G292" s="2"/>
      <c r="H292" s="2" t="s">
        <v>2425</v>
      </c>
      <c r="I292" s="2" t="s">
        <v>2431</v>
      </c>
      <c r="J292" s="3">
        <v>42625</v>
      </c>
      <c r="K292" s="2" t="str">
        <f>HYPERLINK("https://docs.wto.org/imrd/directdoc.asp?DDFDocuments/t/G/SPS/NNZL537.DOC")</f>
        <v>https://docs.wto.org/imrd/directdoc.asp?DDFDocuments/t/G/SPS/NNZL537.DOC</v>
      </c>
      <c r="L292" s="2" t="str">
        <f>HYPERLINK("https://docs.wto.org/imrd/directdoc.asp?DDFDocuments/u/G/SPS/NNZL537.DOC")</f>
        <v>https://docs.wto.org/imrd/directdoc.asp?DDFDocuments/u/G/SPS/NNZL537.DOC</v>
      </c>
      <c r="M292" s="2" t="str">
        <f>HYPERLINK("https://docs.wto.org/imrd/directdoc.asp?DDFDocuments/v/G/SPS/NNZL537.DOC")</f>
        <v>https://docs.wto.org/imrd/directdoc.asp?DDFDocuments/v/G/SPS/NNZL537.DOC</v>
      </c>
      <c r="N292" s="2" t="str">
        <f>HYPERLINK("http://www.epingalert.org/#/details/G/SPS/N/NZL/537")</f>
        <v>http://www.epingalert.org/#/details/G/SPS/N/NZL/537</v>
      </c>
      <c r="O292" s="2"/>
    </row>
    <row r="293" spans="1:15" ht="240" customHeight="1" outlineLevel="1" x14ac:dyDescent="0.25">
      <c r="A293" s="2" t="s">
        <v>154</v>
      </c>
      <c r="B293" s="2" t="s">
        <v>2748</v>
      </c>
      <c r="C293" s="2"/>
      <c r="D293" s="2"/>
      <c r="E293" s="3">
        <v>42565</v>
      </c>
      <c r="F293" s="2" t="s">
        <v>2749</v>
      </c>
      <c r="G293" s="2"/>
      <c r="H293" s="2" t="s">
        <v>2425</v>
      </c>
      <c r="I293" s="2" t="s">
        <v>2548</v>
      </c>
      <c r="J293" s="2"/>
      <c r="K293" s="2" t="str">
        <f>HYPERLINK("https://docs.wto.org/imrd/directdoc.asp?DDFDocuments/t/G/SPS/NIDN112C1.DOC")</f>
        <v>https://docs.wto.org/imrd/directdoc.asp?DDFDocuments/t/G/SPS/NIDN112C1.DOC</v>
      </c>
      <c r="L293" s="2" t="str">
        <f>HYPERLINK("https://docs.wto.org/imrd/directdoc.asp?DDFDocuments/u/G/SPS/NIDN112C1.DOC")</f>
        <v>https://docs.wto.org/imrd/directdoc.asp?DDFDocuments/u/G/SPS/NIDN112C1.DOC</v>
      </c>
      <c r="M293" s="2" t="str">
        <f>HYPERLINK("https://docs.wto.org/imrd/directdoc.asp?DDFDocuments/v/G/SPS/NIDN112C1.DOC")</f>
        <v>https://docs.wto.org/imrd/directdoc.asp?DDFDocuments/v/G/SPS/NIDN112C1.DOC</v>
      </c>
      <c r="N293" s="2" t="str">
        <f>HYPERLINK("http://www.epingalert.org/#/details/G/SPS/N/IDN/112/Corr.1")</f>
        <v>http://www.epingalert.org/#/details/G/SPS/N/IDN/112/Corr.1</v>
      </c>
      <c r="O293" s="2"/>
    </row>
    <row r="294" spans="1:15" ht="240" customHeight="1" outlineLevel="1" x14ac:dyDescent="0.25">
      <c r="A294" s="2" t="s">
        <v>154</v>
      </c>
      <c r="B294" s="2" t="s">
        <v>6593</v>
      </c>
      <c r="C294" s="2"/>
      <c r="D294" s="2"/>
      <c r="E294" s="3">
        <v>42565</v>
      </c>
      <c r="F294" s="2" t="s">
        <v>1715</v>
      </c>
      <c r="G294" s="2" t="s">
        <v>1646</v>
      </c>
      <c r="H294" s="2" t="s">
        <v>2425</v>
      </c>
      <c r="I294" s="2" t="s">
        <v>6594</v>
      </c>
      <c r="J294" s="2"/>
      <c r="K294" s="2" t="str">
        <f>HYPERLINK("https://docs.wto.org/imrd/directdoc.asp?DDFDocuments/t/G/SPS/NIDN111C1.DOC")</f>
        <v>https://docs.wto.org/imrd/directdoc.asp?DDFDocuments/t/G/SPS/NIDN111C1.DOC</v>
      </c>
      <c r="L294" s="2" t="str">
        <f>HYPERLINK("https://docs.wto.org/imrd/directdoc.asp?DDFDocuments/u/G/SPS/NIDN111C1.DOC")</f>
        <v>https://docs.wto.org/imrd/directdoc.asp?DDFDocuments/u/G/SPS/NIDN111C1.DOC</v>
      </c>
      <c r="M294" s="2" t="str">
        <f>HYPERLINK("https://docs.wto.org/imrd/directdoc.asp?DDFDocuments/v/G/SPS/NIDN111C1.DOC")</f>
        <v>https://docs.wto.org/imrd/directdoc.asp?DDFDocuments/v/G/SPS/NIDN111C1.DOC</v>
      </c>
      <c r="N294" s="2" t="str">
        <f>HYPERLINK("http://www.epingalert.org/#/details/G/SPS/N/IDN/111/Corr.1")</f>
        <v>http://www.epingalert.org/#/details/G/SPS/N/IDN/111/Corr.1</v>
      </c>
      <c r="O294" s="2"/>
    </row>
    <row r="295" spans="1:15" ht="240" customHeight="1" outlineLevel="1" x14ac:dyDescent="0.25">
      <c r="A295" s="2" t="s">
        <v>31</v>
      </c>
      <c r="B295" s="2" t="s">
        <v>2767</v>
      </c>
      <c r="C295" s="2" t="s">
        <v>2768</v>
      </c>
      <c r="D295" s="2" t="s">
        <v>2769</v>
      </c>
      <c r="E295" s="3">
        <v>42564</v>
      </c>
      <c r="F295" s="2" t="s">
        <v>2442</v>
      </c>
      <c r="G295" s="2" t="s">
        <v>2770</v>
      </c>
      <c r="H295" s="2" t="s">
        <v>2425</v>
      </c>
      <c r="I295" s="2" t="s">
        <v>2771</v>
      </c>
      <c r="J295" s="3">
        <v>42592</v>
      </c>
      <c r="K295" s="2" t="str">
        <f>HYPERLINK("https://docs.wto.org/imrd/directdoc.asp?DDFDocuments/t/G/SPS/NTHA238.DOC")</f>
        <v>https://docs.wto.org/imrd/directdoc.asp?DDFDocuments/t/G/SPS/NTHA238.DOC</v>
      </c>
      <c r="L295" s="2" t="str">
        <f>HYPERLINK("https://docs.wto.org/imrd/directdoc.asp?DDFDocuments/u/G/SPS/NTHA238.DOC")</f>
        <v>https://docs.wto.org/imrd/directdoc.asp?DDFDocuments/u/G/SPS/NTHA238.DOC</v>
      </c>
      <c r="M295" s="2" t="str">
        <f>HYPERLINK("https://docs.wto.org/imrd/directdoc.asp?DDFDocuments/v/G/SPS/NTHA238.DOC")</f>
        <v>https://docs.wto.org/imrd/directdoc.asp?DDFDocuments/v/G/SPS/NTHA238.DOC</v>
      </c>
      <c r="N295" s="2" t="str">
        <f>HYPERLINK("http://www.epingalert.org/#/details/G/SPS/N/THA/238")</f>
        <v>http://www.epingalert.org/#/details/G/SPS/N/THA/238</v>
      </c>
      <c r="O295" s="2"/>
    </row>
    <row r="296" spans="1:15" ht="240" customHeight="1" outlineLevel="1" x14ac:dyDescent="0.25">
      <c r="A296" s="2" t="s">
        <v>42</v>
      </c>
      <c r="B296" s="2" t="s">
        <v>2763</v>
      </c>
      <c r="C296" s="2" t="s">
        <v>2764</v>
      </c>
      <c r="D296" s="2" t="s">
        <v>2765</v>
      </c>
      <c r="E296" s="3">
        <v>42564</v>
      </c>
      <c r="F296" s="2" t="s">
        <v>2766</v>
      </c>
      <c r="G296" s="2"/>
      <c r="H296" s="2" t="s">
        <v>2425</v>
      </c>
      <c r="I296" s="2" t="s">
        <v>2453</v>
      </c>
      <c r="J296" s="3">
        <v>42579</v>
      </c>
      <c r="K296" s="2" t="str">
        <f>HYPERLINK("https://docs.wto.org/imrd/directdoc.asp?DDFDocuments/t/G/SPS/NBRA1160.DOC")</f>
        <v>https://docs.wto.org/imrd/directdoc.asp?DDFDocuments/t/G/SPS/NBRA1160.DOC</v>
      </c>
      <c r="L296" s="2" t="str">
        <f>HYPERLINK("https://docs.wto.org/imrd/directdoc.asp?DDFDocuments/u/G/SPS/NBRA1160.DOC")</f>
        <v>https://docs.wto.org/imrd/directdoc.asp?DDFDocuments/u/G/SPS/NBRA1160.DOC</v>
      </c>
      <c r="M296" s="2" t="str">
        <f>HYPERLINK("https://docs.wto.org/imrd/directdoc.asp?DDFDocuments/v/G/SPS/NBRA1160.DOC")</f>
        <v>https://docs.wto.org/imrd/directdoc.asp?DDFDocuments/v/G/SPS/NBRA1160.DOC</v>
      </c>
      <c r="N296" s="2" t="str">
        <f>HYPERLINK("http://www.epingalert.org/#/details/G/SPS/N/BRA/1160")</f>
        <v>http://www.epingalert.org/#/details/G/SPS/N/BRA/1160</v>
      </c>
      <c r="O296" s="2"/>
    </row>
    <row r="297" spans="1:15" ht="240" customHeight="1" outlineLevel="1" x14ac:dyDescent="0.25">
      <c r="A297" s="2" t="s">
        <v>37</v>
      </c>
      <c r="B297" s="2" t="s">
        <v>2774</v>
      </c>
      <c r="C297" s="2" t="s">
        <v>2775</v>
      </c>
      <c r="D297" s="2" t="s">
        <v>2776</v>
      </c>
      <c r="E297" s="3">
        <v>42562</v>
      </c>
      <c r="F297" s="2" t="s">
        <v>2777</v>
      </c>
      <c r="G297" s="2"/>
      <c r="H297" s="2" t="s">
        <v>2425</v>
      </c>
      <c r="I297" s="2" t="s">
        <v>2461</v>
      </c>
      <c r="J297" s="3">
        <v>42614</v>
      </c>
      <c r="K297" s="2" t="str">
        <f>HYPERLINK("https://docs.wto.org/imrd/directdoc.asp?DDFDocuments/t/G/SPS/NTUR72.DOC")</f>
        <v>https://docs.wto.org/imrd/directdoc.asp?DDFDocuments/t/G/SPS/NTUR72.DOC</v>
      </c>
      <c r="L297" s="2" t="str">
        <f>HYPERLINK("https://docs.wto.org/imrd/directdoc.asp?DDFDocuments/u/G/SPS/NTUR72.DOC")</f>
        <v>https://docs.wto.org/imrd/directdoc.asp?DDFDocuments/u/G/SPS/NTUR72.DOC</v>
      </c>
      <c r="M297" s="2" t="str">
        <f>HYPERLINK("https://docs.wto.org/imrd/directdoc.asp?DDFDocuments/v/G/SPS/NTUR72.DOC")</f>
        <v>https://docs.wto.org/imrd/directdoc.asp?DDFDocuments/v/G/SPS/NTUR72.DOC</v>
      </c>
      <c r="N297" s="2" t="str">
        <f>HYPERLINK("http://www.epingalert.org/#/details/G/SPS/N/TUR/72")</f>
        <v>http://www.epingalert.org/#/details/G/SPS/N/TUR/72</v>
      </c>
      <c r="O297" s="2"/>
    </row>
    <row r="298" spans="1:15" ht="240" customHeight="1" outlineLevel="1" x14ac:dyDescent="0.25">
      <c r="A298" s="2" t="s">
        <v>12</v>
      </c>
      <c r="B298" s="2" t="s">
        <v>2772</v>
      </c>
      <c r="C298" s="2"/>
      <c r="D298" s="2"/>
      <c r="E298" s="3">
        <v>42562</v>
      </c>
      <c r="F298" s="2" t="s">
        <v>2451</v>
      </c>
      <c r="G298" s="2" t="s">
        <v>2773</v>
      </c>
      <c r="H298" s="2" t="s">
        <v>2425</v>
      </c>
      <c r="I298" s="2" t="s">
        <v>2444</v>
      </c>
      <c r="J298" s="2"/>
      <c r="K298" s="2" t="str">
        <f>HYPERLINK("https://docs.wto.org/imrd/directdoc.asp?DDFDocuments/t/G/SPS/NEU152A1.DOC")</f>
        <v>https://docs.wto.org/imrd/directdoc.asp?DDFDocuments/t/G/SPS/NEU152A1.DOC</v>
      </c>
      <c r="L298" s="2" t="str">
        <f>HYPERLINK("https://docs.wto.org/imrd/directdoc.asp?DDFDocuments/u/G/SPS/NEU152A1.DOC")</f>
        <v>https://docs.wto.org/imrd/directdoc.asp?DDFDocuments/u/G/SPS/NEU152A1.DOC</v>
      </c>
      <c r="M298" s="2" t="str">
        <f>HYPERLINK("https://docs.wto.org/imrd/directdoc.asp?DDFDocuments/v/G/SPS/NEU152A1.DOC")</f>
        <v>https://docs.wto.org/imrd/directdoc.asp?DDFDocuments/v/G/SPS/NEU152A1.DOC</v>
      </c>
      <c r="N298" s="2" t="str">
        <f>HYPERLINK("http://www.epingalert.org/#/details/G/SPS/N/EU/152/Add.1")</f>
        <v>http://www.epingalert.org/#/details/G/SPS/N/EU/152/Add.1</v>
      </c>
      <c r="O298" s="2"/>
    </row>
    <row r="299" spans="1:15" ht="240" customHeight="1" outlineLevel="1" x14ac:dyDescent="0.25">
      <c r="A299" s="2" t="s">
        <v>12</v>
      </c>
      <c r="B299" s="2" t="s">
        <v>2778</v>
      </c>
      <c r="C299" s="2" t="s">
        <v>2779</v>
      </c>
      <c r="D299" s="2" t="s">
        <v>2780</v>
      </c>
      <c r="E299" s="3">
        <v>42558</v>
      </c>
      <c r="F299" s="2" t="s">
        <v>2451</v>
      </c>
      <c r="G299" s="2" t="s">
        <v>2781</v>
      </c>
      <c r="H299" s="2" t="s">
        <v>2425</v>
      </c>
      <c r="I299" s="2" t="s">
        <v>2453</v>
      </c>
      <c r="J299" s="3">
        <v>42618</v>
      </c>
      <c r="K299" s="2" t="str">
        <f>HYPERLINK("https://docs.wto.org/imrd/directdoc.asp?DDFDocuments/t/G/SPS/NEU168.DOC")</f>
        <v>https://docs.wto.org/imrd/directdoc.asp?DDFDocuments/t/G/SPS/NEU168.DOC</v>
      </c>
      <c r="L299" s="2" t="str">
        <f>HYPERLINK("https://docs.wto.org/imrd/directdoc.asp?DDFDocuments/u/G/SPS/NEU168.DOC")</f>
        <v>https://docs.wto.org/imrd/directdoc.asp?DDFDocuments/u/G/SPS/NEU168.DOC</v>
      </c>
      <c r="M299" s="2" t="str">
        <f>HYPERLINK("https://docs.wto.org/imrd/directdoc.asp?DDFDocuments/v/G/SPS/NEU168.DOC")</f>
        <v>https://docs.wto.org/imrd/directdoc.asp?DDFDocuments/v/G/SPS/NEU168.DOC</v>
      </c>
      <c r="N299" s="2" t="str">
        <f>HYPERLINK("http://www.epingalert.org/#/details/G/SPS/N/EU/168")</f>
        <v>http://www.epingalert.org/#/details/G/SPS/N/EU/168</v>
      </c>
      <c r="O299" s="2"/>
    </row>
    <row r="300" spans="1:15" ht="240" customHeight="1" outlineLevel="1" x14ac:dyDescent="0.25">
      <c r="A300" s="2" t="s">
        <v>18</v>
      </c>
      <c r="B300" s="2" t="s">
        <v>6984</v>
      </c>
      <c r="C300" s="2" t="s">
        <v>6985</v>
      </c>
      <c r="D300" s="2" t="s">
        <v>6986</v>
      </c>
      <c r="E300" s="3">
        <v>42557</v>
      </c>
      <c r="F300" s="2" t="s">
        <v>6987</v>
      </c>
      <c r="G300" s="2" t="s">
        <v>6988</v>
      </c>
      <c r="H300" s="2" t="s">
        <v>2467</v>
      </c>
      <c r="I300" s="2" t="s">
        <v>2455</v>
      </c>
      <c r="J300" s="3">
        <v>42612</v>
      </c>
      <c r="K300" s="2" t="str">
        <f>HYPERLINK("https://docs.wto.org/imrd/directdoc.asp?DDFDocuments/t/G/SPS/NUSA2871.DOC")</f>
        <v>https://docs.wto.org/imrd/directdoc.asp?DDFDocuments/t/G/SPS/NUSA2871.DOC</v>
      </c>
      <c r="L300" s="2" t="str">
        <f>HYPERLINK("https://docs.wto.org/imrd/directdoc.asp?DDFDocuments/u/G/SPS/NUSA2871.DOC")</f>
        <v>https://docs.wto.org/imrd/directdoc.asp?DDFDocuments/u/G/SPS/NUSA2871.DOC</v>
      </c>
      <c r="M300" s="2" t="str">
        <f>HYPERLINK("https://docs.wto.org/imrd/directdoc.asp?DDFDocuments/v/G/SPS/NUSA2871.DOC")</f>
        <v>https://docs.wto.org/imrd/directdoc.asp?DDFDocuments/v/G/SPS/NUSA2871.DOC</v>
      </c>
      <c r="N300" s="2" t="str">
        <f>HYPERLINK("http://www.epingalert.org/#/details/G/SPS/N/USA/2871")</f>
        <v>http://www.epingalert.org/#/details/G/SPS/N/USA/2871</v>
      </c>
      <c r="O300" s="2"/>
    </row>
    <row r="301" spans="1:15" ht="240" customHeight="1" outlineLevel="1" x14ac:dyDescent="0.25">
      <c r="A301" s="2" t="s">
        <v>77</v>
      </c>
      <c r="B301" s="2" t="s">
        <v>2786</v>
      </c>
      <c r="C301" s="2" t="s">
        <v>2787</v>
      </c>
      <c r="D301" s="2" t="s">
        <v>2788</v>
      </c>
      <c r="E301" s="3">
        <v>42556</v>
      </c>
      <c r="F301" s="2" t="s">
        <v>2789</v>
      </c>
      <c r="G301" s="2" t="s">
        <v>2790</v>
      </c>
      <c r="H301" s="2" t="s">
        <v>2425</v>
      </c>
      <c r="I301" s="2" t="s">
        <v>2461</v>
      </c>
      <c r="J301" s="3">
        <v>42616</v>
      </c>
      <c r="K301" s="2" t="str">
        <f>HYPERLINK("https://docs.wto.org/imrd/directdoc.asp?DDFDocuments/t/G/SPS/NTPKM403.DOC")</f>
        <v>https://docs.wto.org/imrd/directdoc.asp?DDFDocuments/t/G/SPS/NTPKM403.DOC</v>
      </c>
      <c r="L301" s="2" t="str">
        <f>HYPERLINK("https://docs.wto.org/imrd/directdoc.asp?DDFDocuments/u/G/SPS/NTPKM403.DOC")</f>
        <v>https://docs.wto.org/imrd/directdoc.asp?DDFDocuments/u/G/SPS/NTPKM403.DOC</v>
      </c>
      <c r="M301" s="2" t="str">
        <f>HYPERLINK("https://docs.wto.org/imrd/directdoc.asp?DDFDocuments/v/G/SPS/NTPKM403.DOC")</f>
        <v>https://docs.wto.org/imrd/directdoc.asp?DDFDocuments/v/G/SPS/NTPKM403.DOC</v>
      </c>
      <c r="N301" s="2" t="str">
        <f>HYPERLINK("http://www.epingalert.org/#/details/G/SPS/N/TPKM/403")</f>
        <v>http://www.epingalert.org/#/details/G/SPS/N/TPKM/403</v>
      </c>
      <c r="O301" s="2"/>
    </row>
    <row r="302" spans="1:15" ht="240" customHeight="1" outlineLevel="1" x14ac:dyDescent="0.25">
      <c r="A302" s="2" t="s">
        <v>77</v>
      </c>
      <c r="B302" s="2" t="s">
        <v>2791</v>
      </c>
      <c r="C302" s="2" t="s">
        <v>2792</v>
      </c>
      <c r="D302" s="2" t="s">
        <v>2793</v>
      </c>
      <c r="E302" s="3">
        <v>42556</v>
      </c>
      <c r="F302" s="2" t="s">
        <v>2794</v>
      </c>
      <c r="G302" s="2"/>
      <c r="H302" s="2" t="s">
        <v>2425</v>
      </c>
      <c r="I302" s="2" t="s">
        <v>2795</v>
      </c>
      <c r="J302" s="3">
        <v>42616</v>
      </c>
      <c r="K302" s="2" t="str">
        <f>HYPERLINK("https://docs.wto.org/imrd/directdoc.asp?DDFDocuments/t/G/SPS/NTPKM404.DOC")</f>
        <v>https://docs.wto.org/imrd/directdoc.asp?DDFDocuments/t/G/SPS/NTPKM404.DOC</v>
      </c>
      <c r="L302" s="2" t="str">
        <f>HYPERLINK("https://docs.wto.org/imrd/directdoc.asp?DDFDocuments/u/G/SPS/NTPKM404.DOC")</f>
        <v>https://docs.wto.org/imrd/directdoc.asp?DDFDocuments/u/G/SPS/NTPKM404.DOC</v>
      </c>
      <c r="M302" s="2" t="str">
        <f>HYPERLINK("https://docs.wto.org/imrd/directdoc.asp?DDFDocuments/v/G/SPS/NTPKM404.DOC")</f>
        <v>https://docs.wto.org/imrd/directdoc.asp?DDFDocuments/v/G/SPS/NTPKM404.DOC</v>
      </c>
      <c r="N302" s="2" t="str">
        <f>HYPERLINK("http://www.epingalert.org/#/details/G/SPS/N/TPKM/404")</f>
        <v>http://www.epingalert.org/#/details/G/SPS/N/TPKM/404</v>
      </c>
      <c r="O302" s="2"/>
    </row>
    <row r="303" spans="1:15" ht="240" customHeight="1" outlineLevel="1" x14ac:dyDescent="0.25">
      <c r="A303" s="2" t="s">
        <v>12</v>
      </c>
      <c r="B303" s="2" t="s">
        <v>2782</v>
      </c>
      <c r="C303" s="2"/>
      <c r="D303" s="2"/>
      <c r="E303" s="3">
        <v>42556</v>
      </c>
      <c r="F303" s="2" t="s">
        <v>2451</v>
      </c>
      <c r="G303" s="2" t="s">
        <v>2783</v>
      </c>
      <c r="H303" s="2" t="s">
        <v>2425</v>
      </c>
      <c r="I303" s="2" t="s">
        <v>2784</v>
      </c>
      <c r="J303" s="2"/>
      <c r="K303" s="2" t="str">
        <f>HYPERLINK("https://docs.wto.org/imrd/directdoc.asp?DDFDocuments/t/G/SPS/NEU151A1.DOC")</f>
        <v>https://docs.wto.org/imrd/directdoc.asp?DDFDocuments/t/G/SPS/NEU151A1.DOC</v>
      </c>
      <c r="L303" s="2" t="str">
        <f>HYPERLINK("https://docs.wto.org/imrd/directdoc.asp?DDFDocuments/u/G/SPS/NEU151A1.DOC")</f>
        <v>https://docs.wto.org/imrd/directdoc.asp?DDFDocuments/u/G/SPS/NEU151A1.DOC</v>
      </c>
      <c r="M303" s="2" t="str">
        <f>HYPERLINK("https://docs.wto.org/imrd/directdoc.asp?DDFDocuments/v/G/SPS/NEU151A1.DOC")</f>
        <v>https://docs.wto.org/imrd/directdoc.asp?DDFDocuments/v/G/SPS/NEU151A1.DOC</v>
      </c>
      <c r="N303" s="2" t="str">
        <f>HYPERLINK("http://www.epingalert.org/#/details/G/SPS/N/EU/151/Add.1")</f>
        <v>http://www.epingalert.org/#/details/G/SPS/N/EU/151/Add.1</v>
      </c>
      <c r="O303" s="2"/>
    </row>
    <row r="304" spans="1:15" ht="240" customHeight="1" outlineLevel="1" x14ac:dyDescent="0.25">
      <c r="A304" s="2" t="s">
        <v>12</v>
      </c>
      <c r="B304" s="2" t="s">
        <v>2785</v>
      </c>
      <c r="C304" s="2"/>
      <c r="D304" s="2"/>
      <c r="E304" s="3">
        <v>42556</v>
      </c>
      <c r="F304" s="2" t="s">
        <v>2451</v>
      </c>
      <c r="G304" s="2"/>
      <c r="H304" s="2" t="s">
        <v>2425</v>
      </c>
      <c r="I304" s="2" t="s">
        <v>2444</v>
      </c>
      <c r="J304" s="2"/>
      <c r="K304" s="2" t="str">
        <f>HYPERLINK("https://docs.wto.org/imrd/directdoc.asp?DDFDocuments/t/G/SPS/NEU150A1.DOC")</f>
        <v>https://docs.wto.org/imrd/directdoc.asp?DDFDocuments/t/G/SPS/NEU150A1.DOC</v>
      </c>
      <c r="L304" s="2" t="str">
        <f>HYPERLINK("https://docs.wto.org/imrd/directdoc.asp?DDFDocuments/u/G/SPS/NEU150A1.DOC")</f>
        <v>https://docs.wto.org/imrd/directdoc.asp?DDFDocuments/u/G/SPS/NEU150A1.DOC</v>
      </c>
      <c r="M304" s="2" t="str">
        <f>HYPERLINK("https://docs.wto.org/imrd/directdoc.asp?DDFDocuments/v/G/SPS/NEU150A1.DOC")</f>
        <v>https://docs.wto.org/imrd/directdoc.asp?DDFDocuments/v/G/SPS/NEU150A1.DOC</v>
      </c>
      <c r="N304" s="2" t="str">
        <f>HYPERLINK("http://www.epingalert.org/#/details/G/SPS/N/EU/150/Add.1")</f>
        <v>http://www.epingalert.org/#/details/G/SPS/N/EU/150/Add.1</v>
      </c>
      <c r="O304" s="2"/>
    </row>
    <row r="305" spans="1:15" ht="240" customHeight="1" outlineLevel="1" x14ac:dyDescent="0.25">
      <c r="A305" s="2" t="s">
        <v>6732</v>
      </c>
      <c r="B305" s="2" t="s">
        <v>6989</v>
      </c>
      <c r="C305" s="2" t="s">
        <v>6990</v>
      </c>
      <c r="D305" s="2" t="s">
        <v>6991</v>
      </c>
      <c r="E305" s="3">
        <v>42555</v>
      </c>
      <c r="F305" s="2"/>
      <c r="G305" s="2" t="s">
        <v>2039</v>
      </c>
      <c r="H305" s="2" t="s">
        <v>2454</v>
      </c>
      <c r="I305" s="2" t="s">
        <v>2444</v>
      </c>
      <c r="J305" s="2"/>
      <c r="K305" s="2" t="str">
        <f>HYPERLINK("https://docs.wto.org/imrd/directdoc.asp?DDFDocuments/t/G/SPS/NCOL260A1.DOC")</f>
        <v>https://docs.wto.org/imrd/directdoc.asp?DDFDocuments/t/G/SPS/NCOL260A1.DOC</v>
      </c>
      <c r="L305" s="2" t="str">
        <f>HYPERLINK("https://docs.wto.org/imrd/directdoc.asp?DDFDocuments/u/G/SPS/NCOL260A1.DOC")</f>
        <v>https://docs.wto.org/imrd/directdoc.asp?DDFDocuments/u/G/SPS/NCOL260A1.DOC</v>
      </c>
      <c r="M305" s="2" t="str">
        <f>HYPERLINK("https://docs.wto.org/imrd/directdoc.asp?DDFDocuments/v/G/SPS/NCOL260A1.DOC")</f>
        <v>https://docs.wto.org/imrd/directdoc.asp?DDFDocuments/v/G/SPS/NCOL260A1.DOC</v>
      </c>
      <c r="N305" s="2" t="str">
        <f>HYPERLINK("http://www.epingalert.org/#/details/G/SPS/N/COL/260/Add.1")</f>
        <v>http://www.epingalert.org/#/details/G/SPS/N/COL/260/Add.1</v>
      </c>
      <c r="O305" s="2"/>
    </row>
    <row r="306" spans="1:15" ht="240" customHeight="1" outlineLevel="1" x14ac:dyDescent="0.25">
      <c r="A306" s="2" t="s">
        <v>154</v>
      </c>
      <c r="B306" s="2" t="s">
        <v>2802</v>
      </c>
      <c r="C306" s="2" t="s">
        <v>2803</v>
      </c>
      <c r="D306" s="2" t="s">
        <v>2804</v>
      </c>
      <c r="E306" s="3">
        <v>42552</v>
      </c>
      <c r="F306" s="2" t="s">
        <v>2749</v>
      </c>
      <c r="G306" s="2"/>
      <c r="H306" s="2" t="s">
        <v>2425</v>
      </c>
      <c r="I306" s="2" t="s">
        <v>2548</v>
      </c>
      <c r="J306" s="3">
        <v>42612</v>
      </c>
      <c r="K306" s="2" t="str">
        <f>HYPERLINK("https://docs.wto.org/imrd/directdoc.asp?DDFDocuments/t/G/SPS/NIDN112.DOC")</f>
        <v>https://docs.wto.org/imrd/directdoc.asp?DDFDocuments/t/G/SPS/NIDN112.DOC</v>
      </c>
      <c r="L306" s="2" t="str">
        <f>HYPERLINK("https://docs.wto.org/imrd/directdoc.asp?DDFDocuments/u/G/SPS/NIDN112.DOC")</f>
        <v>https://docs.wto.org/imrd/directdoc.asp?DDFDocuments/u/G/SPS/NIDN112.DOC</v>
      </c>
      <c r="M306" s="2" t="str">
        <f>HYPERLINK("https://docs.wto.org/imrd/directdoc.asp?DDFDocuments/v/G/SPS/NIDN112.DOC")</f>
        <v>https://docs.wto.org/imrd/directdoc.asp?DDFDocuments/v/G/SPS/NIDN112.DOC</v>
      </c>
      <c r="N306" s="2" t="str">
        <f>HYPERLINK("http://www.epingalert.org/#/details/G/SPS/N/IDN/112")</f>
        <v>http://www.epingalert.org/#/details/G/SPS/N/IDN/112</v>
      </c>
      <c r="O306" s="2"/>
    </row>
    <row r="307" spans="1:15" ht="240" customHeight="1" outlineLevel="1" x14ac:dyDescent="0.25">
      <c r="A307" s="2" t="s">
        <v>128</v>
      </c>
      <c r="B307" s="2" t="s">
        <v>6995</v>
      </c>
      <c r="C307" s="2" t="s">
        <v>6996</v>
      </c>
      <c r="D307" s="2" t="s">
        <v>6997</v>
      </c>
      <c r="E307" s="3">
        <v>42552</v>
      </c>
      <c r="F307" s="2" t="s">
        <v>6998</v>
      </c>
      <c r="G307" s="2" t="s">
        <v>6999</v>
      </c>
      <c r="H307" s="2" t="s">
        <v>6741</v>
      </c>
      <c r="I307" s="2" t="s">
        <v>6887</v>
      </c>
      <c r="J307" s="3">
        <v>42612</v>
      </c>
      <c r="K307" s="2" t="str">
        <f>HYPERLINK("https://docs.wto.org/imrd/directdoc.asp?DDFDocuments/t/G/SPS/NPER649.DOC")</f>
        <v>https://docs.wto.org/imrd/directdoc.asp?DDFDocuments/t/G/SPS/NPER649.DOC</v>
      </c>
      <c r="L307" s="2" t="str">
        <f>HYPERLINK("https://docs.wto.org/imrd/directdoc.asp?DDFDocuments/u/G/SPS/NPER649.DOC")</f>
        <v>https://docs.wto.org/imrd/directdoc.asp?DDFDocuments/u/G/SPS/NPER649.DOC</v>
      </c>
      <c r="M307" s="2" t="str">
        <f>HYPERLINK("https://docs.wto.org/imrd/directdoc.asp?DDFDocuments/v/G/SPS/NPER649.DOC")</f>
        <v>https://docs.wto.org/imrd/directdoc.asp?DDFDocuments/v/G/SPS/NPER649.DOC</v>
      </c>
      <c r="N307" s="2" t="str">
        <f>HYPERLINK("http://www.epingalert.org/#/details/G/SPS/N/PER/649")</f>
        <v>http://www.epingalert.org/#/details/G/SPS/N/PER/649</v>
      </c>
      <c r="O307" s="2"/>
    </row>
    <row r="308" spans="1:15" ht="240" customHeight="1" outlineLevel="1" x14ac:dyDescent="0.25">
      <c r="A308" s="2" t="s">
        <v>18</v>
      </c>
      <c r="B308" s="2" t="s">
        <v>2796</v>
      </c>
      <c r="C308" s="2" t="s">
        <v>2797</v>
      </c>
      <c r="D308" s="2" t="s">
        <v>2798</v>
      </c>
      <c r="E308" s="3">
        <v>42552</v>
      </c>
      <c r="F308" s="2" t="s">
        <v>2799</v>
      </c>
      <c r="G308" s="2" t="s">
        <v>2800</v>
      </c>
      <c r="H308" s="2" t="s">
        <v>2425</v>
      </c>
      <c r="I308" s="2" t="s">
        <v>2801</v>
      </c>
      <c r="J308" s="3">
        <v>42611</v>
      </c>
      <c r="K308" s="2" t="str">
        <f>HYPERLINK("https://docs.wto.org/imrd/directdoc.asp?DDFDocuments/t/G/SPS/NUSA2870.DOC")</f>
        <v>https://docs.wto.org/imrd/directdoc.asp?DDFDocuments/t/G/SPS/NUSA2870.DOC</v>
      </c>
      <c r="L308" s="2" t="str">
        <f>HYPERLINK("https://docs.wto.org/imrd/directdoc.asp?DDFDocuments/u/G/SPS/NUSA2870.DOC")</f>
        <v>https://docs.wto.org/imrd/directdoc.asp?DDFDocuments/u/G/SPS/NUSA2870.DOC</v>
      </c>
      <c r="M308" s="2" t="str">
        <f>HYPERLINK("https://docs.wto.org/imrd/directdoc.asp?DDFDocuments/v/G/SPS/NUSA2870.DOC")</f>
        <v>https://docs.wto.org/imrd/directdoc.asp?DDFDocuments/v/G/SPS/NUSA2870.DOC</v>
      </c>
      <c r="N308" s="2" t="str">
        <f>HYPERLINK("http://www.epingalert.org/#/details/G/SPS/N/USA/2870")</f>
        <v>http://www.epingalert.org/#/details/G/SPS/N/USA/2870</v>
      </c>
      <c r="O308" s="2"/>
    </row>
    <row r="309" spans="1:15" ht="240" customHeight="1" outlineLevel="1" x14ac:dyDescent="0.25">
      <c r="A309" s="2" t="s">
        <v>98</v>
      </c>
      <c r="B309" s="2" t="s">
        <v>6992</v>
      </c>
      <c r="C309" s="2"/>
      <c r="D309" s="2"/>
      <c r="E309" s="3">
        <v>42552</v>
      </c>
      <c r="F309" s="2" t="s">
        <v>6993</v>
      </c>
      <c r="G309" s="2" t="s">
        <v>6994</v>
      </c>
      <c r="H309" s="2" t="s">
        <v>2467</v>
      </c>
      <c r="I309" s="2" t="s">
        <v>2444</v>
      </c>
      <c r="J309" s="2"/>
      <c r="K309" s="2" t="str">
        <f>HYPERLINK("https://docs.wto.org/imrd/directdoc.asp?DDFDocuments/t/G/SPS/NZAF43A1.DOC")</f>
        <v>https://docs.wto.org/imrd/directdoc.asp?DDFDocuments/t/G/SPS/NZAF43A1.DOC</v>
      </c>
      <c r="L309" s="2" t="str">
        <f>HYPERLINK("https://docs.wto.org/imrd/directdoc.asp?DDFDocuments/u/G/SPS/NZAF43A1.DOC")</f>
        <v>https://docs.wto.org/imrd/directdoc.asp?DDFDocuments/u/G/SPS/NZAF43A1.DOC</v>
      </c>
      <c r="M309" s="2" t="str">
        <f>HYPERLINK("https://docs.wto.org/imrd/directdoc.asp?DDFDocuments/v/G/SPS/NZAF43A1.DOC")</f>
        <v>https://docs.wto.org/imrd/directdoc.asp?DDFDocuments/v/G/SPS/NZAF43A1.DOC</v>
      </c>
      <c r="N309" s="2" t="str">
        <f>HYPERLINK("http://www.epingalert.org/#/details/G/SPS/N/ZAF/43/Add.1")</f>
        <v>http://www.epingalert.org/#/details/G/SPS/N/ZAF/43/Add.1</v>
      </c>
      <c r="O309" s="2"/>
    </row>
    <row r="310" spans="1:15" ht="240" customHeight="1" outlineLevel="1" x14ac:dyDescent="0.25">
      <c r="A310" s="2" t="s">
        <v>12</v>
      </c>
      <c r="B310" s="2" t="s">
        <v>7000</v>
      </c>
      <c r="C310" s="2" t="s">
        <v>7001</v>
      </c>
      <c r="D310" s="2" t="s">
        <v>7002</v>
      </c>
      <c r="E310" s="3">
        <v>42552</v>
      </c>
      <c r="F310" s="2" t="s">
        <v>7003</v>
      </c>
      <c r="G310" s="2" t="s">
        <v>7004</v>
      </c>
      <c r="H310" s="2" t="s">
        <v>2425</v>
      </c>
      <c r="I310" s="2" t="s">
        <v>3081</v>
      </c>
      <c r="J310" s="2"/>
      <c r="K310" s="2" t="str">
        <f>HYPERLINK("https://docs.wto.org/imrd/directdoc.asp?DDFDocuments/t/G/SPS/NEU167.DOC")</f>
        <v>https://docs.wto.org/imrd/directdoc.asp?DDFDocuments/t/G/SPS/NEU167.DOC</v>
      </c>
      <c r="L310" s="2" t="str">
        <f>HYPERLINK("https://docs.wto.org/imrd/directdoc.asp?DDFDocuments/u/G/SPS/NEU167.DOC")</f>
        <v>https://docs.wto.org/imrd/directdoc.asp?DDFDocuments/u/G/SPS/NEU167.DOC</v>
      </c>
      <c r="M310" s="2" t="str">
        <f>HYPERLINK("https://docs.wto.org/imrd/directdoc.asp?DDFDocuments/v/G/SPS/NEU167.DOC")</f>
        <v>https://docs.wto.org/imrd/directdoc.asp?DDFDocuments/v/G/SPS/NEU167.DOC</v>
      </c>
      <c r="N310" s="2" t="str">
        <f>HYPERLINK("http://www.epingalert.org/#/details/G/SPS/N/EU/167")</f>
        <v>http://www.epingalert.org/#/details/G/SPS/N/EU/167</v>
      </c>
      <c r="O310" s="2"/>
    </row>
    <row r="311" spans="1:15" ht="240" customHeight="1" outlineLevel="1" x14ac:dyDescent="0.25">
      <c r="A311" s="2" t="s">
        <v>25</v>
      </c>
      <c r="B311" s="2" t="s">
        <v>2805</v>
      </c>
      <c r="C311" s="2" t="s">
        <v>2806</v>
      </c>
      <c r="D311" s="2" t="s">
        <v>2807</v>
      </c>
      <c r="E311" s="3">
        <v>42551</v>
      </c>
      <c r="F311" s="2" t="s">
        <v>241</v>
      </c>
      <c r="G311" s="2"/>
      <c r="H311" s="2" t="s">
        <v>2425</v>
      </c>
      <c r="I311" s="2" t="s">
        <v>2461</v>
      </c>
      <c r="J311" s="3">
        <v>42611</v>
      </c>
      <c r="K311" s="2" t="str">
        <f>HYPERLINK("https://docs.wto.org/imrd/directdoc.asp?DDFDocuments/t/G/SPS/NKOR540.DOC")</f>
        <v>https://docs.wto.org/imrd/directdoc.asp?DDFDocuments/t/G/SPS/NKOR540.DOC</v>
      </c>
      <c r="L311" s="2" t="str">
        <f>HYPERLINK("https://docs.wto.org/imrd/directdoc.asp?DDFDocuments/u/G/SPS/NKOR540.DOC")</f>
        <v>https://docs.wto.org/imrd/directdoc.asp?DDFDocuments/u/G/SPS/NKOR540.DOC</v>
      </c>
      <c r="M311" s="2" t="str">
        <f>HYPERLINK("https://docs.wto.org/imrd/directdoc.asp?DDFDocuments/v/G/SPS/NKOR540.DOC")</f>
        <v>https://docs.wto.org/imrd/directdoc.asp?DDFDocuments/v/G/SPS/NKOR540.DOC</v>
      </c>
      <c r="N311" s="2" t="str">
        <f>HYPERLINK("http://www.epingalert.org/#/details/G/SPS/N/KOR/540")</f>
        <v>http://www.epingalert.org/#/details/G/SPS/N/KOR/540</v>
      </c>
      <c r="O311" s="2"/>
    </row>
    <row r="312" spans="1:15" ht="240" customHeight="1" outlineLevel="1" x14ac:dyDescent="0.25">
      <c r="A312" s="2" t="s">
        <v>154</v>
      </c>
      <c r="B312" s="2" t="s">
        <v>6595</v>
      </c>
      <c r="C312" s="2" t="s">
        <v>6596</v>
      </c>
      <c r="D312" s="2" t="s">
        <v>6597</v>
      </c>
      <c r="E312" s="3">
        <v>42551</v>
      </c>
      <c r="F312" s="2" t="s">
        <v>6598</v>
      </c>
      <c r="G312" s="2" t="s">
        <v>1646</v>
      </c>
      <c r="H312" s="2" t="s">
        <v>2425</v>
      </c>
      <c r="I312" s="2" t="s">
        <v>6599</v>
      </c>
      <c r="J312" s="3">
        <v>42611</v>
      </c>
      <c r="K312" s="2" t="str">
        <f>HYPERLINK("https://docs.wto.org/imrd/directdoc.asp?DDFDocuments/t/G/SPS/NIDN111.DOC")</f>
        <v>https://docs.wto.org/imrd/directdoc.asp?DDFDocuments/t/G/SPS/NIDN111.DOC</v>
      </c>
      <c r="L312" s="2" t="str">
        <f>HYPERLINK("https://docs.wto.org/imrd/directdoc.asp?DDFDocuments/u/G/SPS/NIDN111.DOC")</f>
        <v>https://docs.wto.org/imrd/directdoc.asp?DDFDocuments/u/G/SPS/NIDN111.DOC</v>
      </c>
      <c r="M312" s="2" t="str">
        <f>HYPERLINK("https://docs.wto.org/imrd/directdoc.asp?DDFDocuments/v/G/SPS/NIDN111.DOC")</f>
        <v>https://docs.wto.org/imrd/directdoc.asp?DDFDocuments/v/G/SPS/NIDN111.DOC</v>
      </c>
      <c r="N312" s="2" t="str">
        <f>HYPERLINK("http://www.epingalert.org/#/details/G/SPS/N/IDN/111")</f>
        <v>http://www.epingalert.org/#/details/G/SPS/N/IDN/111</v>
      </c>
      <c r="O312" s="2"/>
    </row>
    <row r="313" spans="1:15" ht="240" customHeight="1" outlineLevel="1" x14ac:dyDescent="0.25">
      <c r="A313" s="2" t="s">
        <v>225</v>
      </c>
      <c r="B313" s="2" t="s">
        <v>2818</v>
      </c>
      <c r="C313" s="2" t="s">
        <v>2819</v>
      </c>
      <c r="D313" s="2" t="s">
        <v>2494</v>
      </c>
      <c r="E313" s="3">
        <v>42550</v>
      </c>
      <c r="F313" s="2" t="s">
        <v>2430</v>
      </c>
      <c r="G313" s="2"/>
      <c r="H313" s="2" t="s">
        <v>2425</v>
      </c>
      <c r="I313" s="2" t="s">
        <v>2431</v>
      </c>
      <c r="J313" s="3">
        <v>42615</v>
      </c>
      <c r="K313" s="2" t="str">
        <f>HYPERLINK("https://docs.wto.org/imrd/directdoc.asp?DDFDocuments/t/G/SPS/NAUS389.DOC")</f>
        <v>https://docs.wto.org/imrd/directdoc.asp?DDFDocuments/t/G/SPS/NAUS389.DOC</v>
      </c>
      <c r="L313" s="2" t="str">
        <f>HYPERLINK("https://docs.wto.org/imrd/directdoc.asp?DDFDocuments/u/G/SPS/NAUS389.DOC")</f>
        <v>https://docs.wto.org/imrd/directdoc.asp?DDFDocuments/u/G/SPS/NAUS389.DOC</v>
      </c>
      <c r="M313" s="2" t="str">
        <f>HYPERLINK("https://docs.wto.org/imrd/directdoc.asp?DDFDocuments/v/G/SPS/NAUS389.DOC")</f>
        <v>https://docs.wto.org/imrd/directdoc.asp?DDFDocuments/v/G/SPS/NAUS389.DOC</v>
      </c>
      <c r="N313" s="2" t="str">
        <f>HYPERLINK("http://www.epingalert.org/#/details/G/SPS/N/AUS/389")</f>
        <v>http://www.epingalert.org/#/details/G/SPS/N/AUS/389</v>
      </c>
      <c r="O313" s="2"/>
    </row>
    <row r="314" spans="1:15" ht="240" customHeight="1" outlineLevel="1" x14ac:dyDescent="0.25">
      <c r="A314" s="2" t="s">
        <v>77</v>
      </c>
      <c r="B314" s="2" t="s">
        <v>2808</v>
      </c>
      <c r="C314" s="2"/>
      <c r="D314" s="2"/>
      <c r="E314" s="3">
        <v>42550</v>
      </c>
      <c r="F314" s="2" t="s">
        <v>2809</v>
      </c>
      <c r="G314" s="2"/>
      <c r="H314" s="2" t="s">
        <v>2425</v>
      </c>
      <c r="I314" s="2" t="s">
        <v>2444</v>
      </c>
      <c r="J314" s="2"/>
      <c r="K314" s="2" t="str">
        <f>HYPERLINK("https://docs.wto.org/imrd/directdoc.asp?DDFDocuments/t/G/SPS/NTPKM353A1.DOC")</f>
        <v>https://docs.wto.org/imrd/directdoc.asp?DDFDocuments/t/G/SPS/NTPKM353A1.DOC</v>
      </c>
      <c r="L314" s="2" t="str">
        <f>HYPERLINK("https://docs.wto.org/imrd/directdoc.asp?DDFDocuments/u/G/SPS/NTPKM353A1.DOC")</f>
        <v>https://docs.wto.org/imrd/directdoc.asp?DDFDocuments/u/G/SPS/NTPKM353A1.DOC</v>
      </c>
      <c r="M314" s="2" t="str">
        <f>HYPERLINK("https://docs.wto.org/imrd/directdoc.asp?DDFDocuments/v/G/SPS/NTPKM353A1.DOC")</f>
        <v>https://docs.wto.org/imrd/directdoc.asp?DDFDocuments/v/G/SPS/NTPKM353A1.DOC</v>
      </c>
      <c r="N314" s="2" t="str">
        <f>HYPERLINK("http://www.epingalert.org/#/details/G/SPS/N/TPKM/353/Add.1")</f>
        <v>http://www.epingalert.org/#/details/G/SPS/N/TPKM/353/Add.1</v>
      </c>
      <c r="O314" s="2"/>
    </row>
    <row r="315" spans="1:15" ht="240" customHeight="1" outlineLevel="1" x14ac:dyDescent="0.25">
      <c r="A315" s="2" t="s">
        <v>1908</v>
      </c>
      <c r="B315" s="2" t="s">
        <v>2810</v>
      </c>
      <c r="C315" s="2"/>
      <c r="D315" s="2"/>
      <c r="E315" s="3">
        <v>42550</v>
      </c>
      <c r="F315" s="2" t="s">
        <v>2811</v>
      </c>
      <c r="G315" s="2"/>
      <c r="H315" s="2" t="s">
        <v>2425</v>
      </c>
      <c r="I315" s="2" t="s">
        <v>2444</v>
      </c>
      <c r="J315" s="2"/>
      <c r="K315" s="2" t="str">
        <f>HYPERLINK("https://docs.wto.org/imrd/directdoc.asp?DDFDocuments/t/G/SPS/NCAN597A4.DOC")</f>
        <v>https://docs.wto.org/imrd/directdoc.asp?DDFDocuments/t/G/SPS/NCAN597A4.DOC</v>
      </c>
      <c r="L315" s="2" t="str">
        <f>HYPERLINK("https://docs.wto.org/imrd/directdoc.asp?DDFDocuments/u/G/SPS/NCAN597A4.DOC")</f>
        <v>https://docs.wto.org/imrd/directdoc.asp?DDFDocuments/u/G/SPS/NCAN597A4.DOC</v>
      </c>
      <c r="M315" s="2" t="str">
        <f>HYPERLINK("https://docs.wto.org/imrd/directdoc.asp?DDFDocuments/v/G/SPS/NCAN597A4.DOC")</f>
        <v>https://docs.wto.org/imrd/directdoc.asp?DDFDocuments/v/G/SPS/NCAN597A4.DOC</v>
      </c>
      <c r="N315" s="2" t="str">
        <f>HYPERLINK("http://www.epingalert.org/#/details/G/SPS/N/CAN/597/Add.4")</f>
        <v>http://www.epingalert.org/#/details/G/SPS/N/CAN/597/Add.4</v>
      </c>
      <c r="O315" s="2"/>
    </row>
    <row r="316" spans="1:15" ht="240" customHeight="1" outlineLevel="1" x14ac:dyDescent="0.25">
      <c r="A316" s="2" t="s">
        <v>1908</v>
      </c>
      <c r="B316" s="2" t="s">
        <v>2812</v>
      </c>
      <c r="C316" s="2"/>
      <c r="D316" s="2"/>
      <c r="E316" s="3">
        <v>42550</v>
      </c>
      <c r="F316" s="2" t="s">
        <v>2811</v>
      </c>
      <c r="G316" s="2"/>
      <c r="H316" s="2" t="s">
        <v>2425</v>
      </c>
      <c r="I316" s="2" t="s">
        <v>2444</v>
      </c>
      <c r="J316" s="2"/>
      <c r="K316" s="2" t="str">
        <f>HYPERLINK("https://docs.wto.org/imrd/directdoc.asp?DDFDocuments/t/G/SPS/NCAN597A3.DOC")</f>
        <v>https://docs.wto.org/imrd/directdoc.asp?DDFDocuments/t/G/SPS/NCAN597A3.DOC</v>
      </c>
      <c r="L316" s="2" t="str">
        <f>HYPERLINK("https://docs.wto.org/imrd/directdoc.asp?DDFDocuments/u/G/SPS/NCAN597A3.DOC")</f>
        <v>https://docs.wto.org/imrd/directdoc.asp?DDFDocuments/u/G/SPS/NCAN597A3.DOC</v>
      </c>
      <c r="M316" s="2" t="str">
        <f>HYPERLINK("https://docs.wto.org/imrd/directdoc.asp?DDFDocuments/v/G/SPS/NCAN597A3.DOC")</f>
        <v>https://docs.wto.org/imrd/directdoc.asp?DDFDocuments/v/G/SPS/NCAN597A3.DOC</v>
      </c>
      <c r="N316" s="2" t="str">
        <f>HYPERLINK("http://www.epingalert.org/#/details/G/SPS/N/CAN/597/Add.3")</f>
        <v>http://www.epingalert.org/#/details/G/SPS/N/CAN/597/Add.3</v>
      </c>
      <c r="O316" s="2"/>
    </row>
    <row r="317" spans="1:15" ht="240" customHeight="1" outlineLevel="1" x14ac:dyDescent="0.25">
      <c r="A317" s="2" t="s">
        <v>18</v>
      </c>
      <c r="B317" s="2" t="s">
        <v>2813</v>
      </c>
      <c r="C317" s="2" t="s">
        <v>2814</v>
      </c>
      <c r="D317" s="2" t="s">
        <v>2815</v>
      </c>
      <c r="E317" s="3">
        <v>42550</v>
      </c>
      <c r="F317" s="2" t="s">
        <v>2816</v>
      </c>
      <c r="G317" s="2"/>
      <c r="H317" s="2" t="s">
        <v>2425</v>
      </c>
      <c r="I317" s="2" t="s">
        <v>2817</v>
      </c>
      <c r="J317" s="2"/>
      <c r="K317" s="2" t="str">
        <f>HYPERLINK("https://docs.wto.org/imrd/directdoc.asp?DDFDocuments/t/G/SPS/NUSA2869.DOC")</f>
        <v>https://docs.wto.org/imrd/directdoc.asp?DDFDocuments/t/G/SPS/NUSA2869.DOC</v>
      </c>
      <c r="L317" s="2" t="str">
        <f>HYPERLINK("https://docs.wto.org/imrd/directdoc.asp?DDFDocuments/u/G/SPS/NUSA2869.DOC")</f>
        <v>https://docs.wto.org/imrd/directdoc.asp?DDFDocuments/u/G/SPS/NUSA2869.DOC</v>
      </c>
      <c r="M317" s="2" t="str">
        <f>HYPERLINK("https://docs.wto.org/imrd/directdoc.asp?DDFDocuments/v/G/SPS/NUSA2869.DOC")</f>
        <v>https://docs.wto.org/imrd/directdoc.asp?DDFDocuments/v/G/SPS/NUSA2869.DOC</v>
      </c>
      <c r="N317" s="2" t="str">
        <f>HYPERLINK("http://www.epingalert.org/#/details/G/SPS/N/USA/2869")</f>
        <v>http://www.epingalert.org/#/details/G/SPS/N/USA/2869</v>
      </c>
      <c r="O317" s="2"/>
    </row>
    <row r="318" spans="1:15" ht="240" customHeight="1" outlineLevel="1" x14ac:dyDescent="0.25">
      <c r="A318" s="2" t="s">
        <v>77</v>
      </c>
      <c r="B318" s="2" t="s">
        <v>2824</v>
      </c>
      <c r="C318" s="2" t="s">
        <v>2825</v>
      </c>
      <c r="D318" s="2" t="s">
        <v>2826</v>
      </c>
      <c r="E318" s="3">
        <v>42543</v>
      </c>
      <c r="F318" s="2" t="s">
        <v>2827</v>
      </c>
      <c r="G318" s="2" t="s">
        <v>2828</v>
      </c>
      <c r="H318" s="2" t="s">
        <v>2425</v>
      </c>
      <c r="I318" s="2" t="s">
        <v>2461</v>
      </c>
      <c r="J318" s="3">
        <v>42603</v>
      </c>
      <c r="K318" s="2" t="str">
        <f>HYPERLINK("https://docs.wto.org/imrd/directdoc.asp?DDFDocuments/t/G/SPS/NTPKM402.DOC")</f>
        <v>https://docs.wto.org/imrd/directdoc.asp?DDFDocuments/t/G/SPS/NTPKM402.DOC</v>
      </c>
      <c r="L318" s="2" t="str">
        <f>HYPERLINK("https://docs.wto.org/imrd/directdoc.asp?DDFDocuments/u/G/SPS/NTPKM402.DOC")</f>
        <v>https://docs.wto.org/imrd/directdoc.asp?DDFDocuments/u/G/SPS/NTPKM402.DOC</v>
      </c>
      <c r="M318" s="2" t="str">
        <f>HYPERLINK("https://docs.wto.org/imrd/directdoc.asp?DDFDocuments/v/G/SPS/NTPKM402.DOC")</f>
        <v>https://docs.wto.org/imrd/directdoc.asp?DDFDocuments/v/G/SPS/NTPKM402.DOC</v>
      </c>
      <c r="N318" s="2" t="str">
        <f>HYPERLINK("http://www.epingalert.org/#/details/G/SPS/N/TPKM/402")</f>
        <v>http://www.epingalert.org/#/details/G/SPS/N/TPKM/402</v>
      </c>
      <c r="O318" s="2"/>
    </row>
    <row r="319" spans="1:15" ht="240" customHeight="1" outlineLevel="1" x14ac:dyDescent="0.25">
      <c r="A319" s="2" t="s">
        <v>31</v>
      </c>
      <c r="B319" s="2" t="s">
        <v>2820</v>
      </c>
      <c r="C319" s="2"/>
      <c r="D319" s="2"/>
      <c r="E319" s="3">
        <v>42543</v>
      </c>
      <c r="F319" s="2" t="s">
        <v>2821</v>
      </c>
      <c r="G319" s="2"/>
      <c r="H319" s="2" t="s">
        <v>2425</v>
      </c>
      <c r="I319" s="2" t="s">
        <v>2444</v>
      </c>
      <c r="J319" s="2"/>
      <c r="K319" s="2" t="str">
        <f>HYPERLINK("https://docs.wto.org/imrd/directdoc.asp?DDFDocuments/t/G/SPS/NTHA155R1A2.DOC")</f>
        <v>https://docs.wto.org/imrd/directdoc.asp?DDFDocuments/t/G/SPS/NTHA155R1A2.DOC</v>
      </c>
      <c r="L319" s="2" t="str">
        <f>HYPERLINK("https://docs.wto.org/imrd/directdoc.asp?DDFDocuments/u/G/SPS/NTHA155R1A2.DOC")</f>
        <v>https://docs.wto.org/imrd/directdoc.asp?DDFDocuments/u/G/SPS/NTHA155R1A2.DOC</v>
      </c>
      <c r="M319" s="2" t="str">
        <f>HYPERLINK("https://docs.wto.org/imrd/directdoc.asp?DDFDocuments/v/G/SPS/NTHA155R1A2.DOC")</f>
        <v>https://docs.wto.org/imrd/directdoc.asp?DDFDocuments/v/G/SPS/NTHA155R1A2.DOC</v>
      </c>
      <c r="N319" s="2" t="str">
        <f>HYPERLINK("http://www.epingalert.org/#/details/G/SPS/N/THA/155/Rev.1/Add.2")</f>
        <v>http://www.epingalert.org/#/details/G/SPS/N/THA/155/Rev.1/Add.2</v>
      </c>
      <c r="O319" s="2"/>
    </row>
    <row r="320" spans="1:15" ht="240" customHeight="1" outlineLevel="1" x14ac:dyDescent="0.25">
      <c r="A320" s="2" t="s">
        <v>1908</v>
      </c>
      <c r="B320" s="2" t="s">
        <v>2822</v>
      </c>
      <c r="C320" s="2"/>
      <c r="D320" s="2"/>
      <c r="E320" s="3">
        <v>42543</v>
      </c>
      <c r="F320" s="2" t="s">
        <v>2823</v>
      </c>
      <c r="G320" s="2"/>
      <c r="H320" s="2" t="s">
        <v>2425</v>
      </c>
      <c r="I320" s="2" t="s">
        <v>2444</v>
      </c>
      <c r="J320" s="2"/>
      <c r="K320" s="2" t="str">
        <f>HYPERLINK("https://docs.wto.org/imrd/directdoc.asp?DDFDocuments/t/G/SPS/NCAN870A1.DOC")</f>
        <v>https://docs.wto.org/imrd/directdoc.asp?DDFDocuments/t/G/SPS/NCAN870A1.DOC</v>
      </c>
      <c r="L320" s="2" t="str">
        <f>HYPERLINK("https://docs.wto.org/imrd/directdoc.asp?DDFDocuments/u/G/SPS/NCAN870A1.DOC")</f>
        <v>https://docs.wto.org/imrd/directdoc.asp?DDFDocuments/u/G/SPS/NCAN870A1.DOC</v>
      </c>
      <c r="M320" s="2" t="str">
        <f>HYPERLINK("https://docs.wto.org/imrd/directdoc.asp?DDFDocuments/v/G/SPS/NCAN870A1.DOC")</f>
        <v>https://docs.wto.org/imrd/directdoc.asp?DDFDocuments/v/G/SPS/NCAN870A1.DOC</v>
      </c>
      <c r="N320" s="2" t="str">
        <f>HYPERLINK("http://www.epingalert.org/#/details/G/SPS/N/CAN/870/Add.1")</f>
        <v>http://www.epingalert.org/#/details/G/SPS/N/CAN/870/Add.1</v>
      </c>
      <c r="O320" s="2"/>
    </row>
    <row r="321" spans="1:15" ht="240" customHeight="1" outlineLevel="1" x14ac:dyDescent="0.25">
      <c r="A321" s="2" t="s">
        <v>121</v>
      </c>
      <c r="B321" s="2" t="s">
        <v>7006</v>
      </c>
      <c r="C321" s="2"/>
      <c r="D321" s="2"/>
      <c r="E321" s="3">
        <v>42543</v>
      </c>
      <c r="F321" s="2" t="s">
        <v>7007</v>
      </c>
      <c r="G321" s="2" t="s">
        <v>7008</v>
      </c>
      <c r="H321" s="2" t="s">
        <v>2454</v>
      </c>
      <c r="I321" s="2" t="s">
        <v>6811</v>
      </c>
      <c r="J321" s="2"/>
      <c r="K321" s="2" t="str">
        <f>HYPERLINK("https://docs.wto.org/imrd/directdoc.asp?DDFDocuments/t/G/SPS/NIND143C1.DOC")</f>
        <v>https://docs.wto.org/imrd/directdoc.asp?DDFDocuments/t/G/SPS/NIND143C1.DOC</v>
      </c>
      <c r="L321" s="2" t="str">
        <f>HYPERLINK("https://docs.wto.org/imrd/directdoc.asp?DDFDocuments/u/G/SPS/NIND143C1.DOC")</f>
        <v>https://docs.wto.org/imrd/directdoc.asp?DDFDocuments/u/G/SPS/NIND143C1.DOC</v>
      </c>
      <c r="M321" s="2" t="str">
        <f>HYPERLINK("https://docs.wto.org/imrd/directdoc.asp?DDFDocuments/v/G/SPS/NIND143C1.DOC")</f>
        <v>https://docs.wto.org/imrd/directdoc.asp?DDFDocuments/v/G/SPS/NIND143C1.DOC</v>
      </c>
      <c r="N321" s="2" t="str">
        <f>HYPERLINK("http://www.epingalert.org/#/details/G/SPS/N/IND/143/Corr.1")</f>
        <v>http://www.epingalert.org/#/details/G/SPS/N/IND/143/Corr.1</v>
      </c>
      <c r="O321" s="2"/>
    </row>
    <row r="322" spans="1:15" ht="240" customHeight="1" outlineLevel="1" x14ac:dyDescent="0.25">
      <c r="A322" s="2" t="s">
        <v>25</v>
      </c>
      <c r="B322" s="2" t="s">
        <v>2829</v>
      </c>
      <c r="C322" s="2" t="s">
        <v>2830</v>
      </c>
      <c r="D322" s="2" t="s">
        <v>2831</v>
      </c>
      <c r="E322" s="3">
        <v>42541</v>
      </c>
      <c r="F322" s="2" t="s">
        <v>299</v>
      </c>
      <c r="G322" s="2"/>
      <c r="H322" s="2" t="s">
        <v>2425</v>
      </c>
      <c r="I322" s="2" t="s">
        <v>2832</v>
      </c>
      <c r="J322" s="3">
        <v>42601</v>
      </c>
      <c r="K322" s="2" t="str">
        <f>HYPERLINK("https://docs.wto.org/imrd/directdoc.asp?DDFDocuments/t/G/SPS/NKOR539.DOC")</f>
        <v>https://docs.wto.org/imrd/directdoc.asp?DDFDocuments/t/G/SPS/NKOR539.DOC</v>
      </c>
      <c r="L322" s="2" t="str">
        <f>HYPERLINK("https://docs.wto.org/imrd/directdoc.asp?DDFDocuments/u/G/SPS/NKOR539.DOC")</f>
        <v>https://docs.wto.org/imrd/directdoc.asp?DDFDocuments/u/G/SPS/NKOR539.DOC</v>
      </c>
      <c r="M322" s="2" t="str">
        <f>HYPERLINK("https://docs.wto.org/imrd/directdoc.asp?DDFDocuments/v/G/SPS/NKOR539.DOC")</f>
        <v>https://docs.wto.org/imrd/directdoc.asp?DDFDocuments/v/G/SPS/NKOR539.DOC</v>
      </c>
      <c r="N322" s="2" t="str">
        <f>HYPERLINK("http://www.epingalert.org/#/details/G/SPS/N/KOR/539")</f>
        <v>http://www.epingalert.org/#/details/G/SPS/N/KOR/539</v>
      </c>
      <c r="O322" s="2"/>
    </row>
    <row r="323" spans="1:15" ht="240" customHeight="1" outlineLevel="1" x14ac:dyDescent="0.25">
      <c r="A323" s="2" t="s">
        <v>31</v>
      </c>
      <c r="B323" s="2" t="s">
        <v>7009</v>
      </c>
      <c r="C323" s="2" t="s">
        <v>7010</v>
      </c>
      <c r="D323" s="2" t="s">
        <v>7011</v>
      </c>
      <c r="E323" s="3">
        <v>42541</v>
      </c>
      <c r="F323" s="2" t="s">
        <v>6932</v>
      </c>
      <c r="G323" s="2" t="s">
        <v>7012</v>
      </c>
      <c r="H323" s="2" t="s">
        <v>2425</v>
      </c>
      <c r="I323" s="2" t="s">
        <v>7013</v>
      </c>
      <c r="J323" s="3">
        <v>42571</v>
      </c>
      <c r="K323" s="2" t="str">
        <f>HYPERLINK("https://docs.wto.org/imrd/directdoc.asp?DDFDocuments/t/G/SPS/NTHA232R1.DOC")</f>
        <v>https://docs.wto.org/imrd/directdoc.asp?DDFDocuments/t/G/SPS/NTHA232R1.DOC</v>
      </c>
      <c r="L323" s="2" t="str">
        <f>HYPERLINK("https://docs.wto.org/imrd/directdoc.asp?DDFDocuments/u/G/SPS/NTHA232R1.DOC")</f>
        <v>https://docs.wto.org/imrd/directdoc.asp?DDFDocuments/u/G/SPS/NTHA232R1.DOC</v>
      </c>
      <c r="M323" s="2" t="str">
        <f>HYPERLINK("https://docs.wto.org/imrd/directdoc.asp?DDFDocuments/v/G/SPS/NTHA232R1.DOC")</f>
        <v>https://docs.wto.org/imrd/directdoc.asp?DDFDocuments/v/G/SPS/NTHA232R1.DOC</v>
      </c>
      <c r="N323" s="2" t="str">
        <f>HYPERLINK("http://www.epingalert.org/#/details/G/SPS/N/THA/232/Rev.1")</f>
        <v>http://www.epingalert.org/#/details/G/SPS/N/THA/232/Rev.1</v>
      </c>
      <c r="O323" s="2"/>
    </row>
    <row r="324" spans="1:15" ht="240" customHeight="1" outlineLevel="1" x14ac:dyDescent="0.25">
      <c r="A324" s="2" t="s">
        <v>18</v>
      </c>
      <c r="B324" s="2" t="s">
        <v>2833</v>
      </c>
      <c r="C324" s="2" t="s">
        <v>2834</v>
      </c>
      <c r="D324" s="2" t="s">
        <v>2835</v>
      </c>
      <c r="E324" s="3">
        <v>42537</v>
      </c>
      <c r="F324" s="2" t="s">
        <v>2836</v>
      </c>
      <c r="G324" s="2" t="s">
        <v>2837</v>
      </c>
      <c r="H324" s="2" t="s">
        <v>2425</v>
      </c>
      <c r="I324" s="2" t="s">
        <v>2426</v>
      </c>
      <c r="J324" s="3">
        <v>42597</v>
      </c>
      <c r="K324" s="2" t="str">
        <f>HYPERLINK("https://docs.wto.org/imrd/directdoc.asp?DDFDocuments/t/G/SPS/NUSA2865.DOC")</f>
        <v>https://docs.wto.org/imrd/directdoc.asp?DDFDocuments/t/G/SPS/NUSA2865.DOC</v>
      </c>
      <c r="L324" s="2" t="str">
        <f>HYPERLINK("https://docs.wto.org/imrd/directdoc.asp?DDFDocuments/u/G/SPS/NUSA2865.DOC")</f>
        <v>https://docs.wto.org/imrd/directdoc.asp?DDFDocuments/u/G/SPS/NUSA2865.DOC</v>
      </c>
      <c r="M324" s="2" t="str">
        <f>HYPERLINK("https://docs.wto.org/imrd/directdoc.asp?DDFDocuments/v/G/SPS/NUSA2865.DOC")</f>
        <v>https://docs.wto.org/imrd/directdoc.asp?DDFDocuments/v/G/SPS/NUSA2865.DOC</v>
      </c>
      <c r="N324" s="2" t="str">
        <f>HYPERLINK("http://www.epingalert.org/#/details/G/SPS/N/USA/2865")</f>
        <v>http://www.epingalert.org/#/details/G/SPS/N/USA/2865</v>
      </c>
      <c r="O324" s="2"/>
    </row>
    <row r="325" spans="1:15" ht="240" customHeight="1" outlineLevel="1" x14ac:dyDescent="0.25">
      <c r="A325" s="2" t="s">
        <v>282</v>
      </c>
      <c r="B325" s="2" t="s">
        <v>7014</v>
      </c>
      <c r="C325" s="2"/>
      <c r="D325" s="2"/>
      <c r="E325" s="3">
        <v>42537</v>
      </c>
      <c r="F325" s="2" t="s">
        <v>7015</v>
      </c>
      <c r="G325" s="2" t="s">
        <v>7016</v>
      </c>
      <c r="H325" s="2" t="s">
        <v>2467</v>
      </c>
      <c r="I325" s="2" t="s">
        <v>2444</v>
      </c>
      <c r="J325" s="2"/>
      <c r="K325" s="2" t="str">
        <f>HYPERLINK("https://docs.wto.org/imrd/directdoc.asp?DDFDocuments/t/G/SPS/NRUS23A2.DOC")</f>
        <v>https://docs.wto.org/imrd/directdoc.asp?DDFDocuments/t/G/SPS/NRUS23A2.DOC</v>
      </c>
      <c r="L325" s="2" t="str">
        <f>HYPERLINK("https://docs.wto.org/imrd/directdoc.asp?DDFDocuments/u/G/SPS/NRUS23A2.DOC")</f>
        <v>https://docs.wto.org/imrd/directdoc.asp?DDFDocuments/u/G/SPS/NRUS23A2.DOC</v>
      </c>
      <c r="M325" s="2" t="str">
        <f>HYPERLINK("https://docs.wto.org/imrd/directdoc.asp?DDFDocuments/v/G/SPS/NRUS23A2.DOC")</f>
        <v>https://docs.wto.org/imrd/directdoc.asp?DDFDocuments/v/G/SPS/NRUS23A2.DOC</v>
      </c>
      <c r="N325" s="2" t="str">
        <f>HYPERLINK("http://www.epingalert.org/#/details/G/SPS/N/RUS/23/Add.2")</f>
        <v>http://www.epingalert.org/#/details/G/SPS/N/RUS/23/Add.2</v>
      </c>
      <c r="O325" s="2"/>
    </row>
    <row r="326" spans="1:15" ht="240" customHeight="1" outlineLevel="1" x14ac:dyDescent="0.25">
      <c r="A326" s="2" t="s">
        <v>1908</v>
      </c>
      <c r="B326" s="2" t="s">
        <v>2838</v>
      </c>
      <c r="C326" s="2" t="s">
        <v>2839</v>
      </c>
      <c r="D326" s="2" t="s">
        <v>2840</v>
      </c>
      <c r="E326" s="3">
        <v>42535</v>
      </c>
      <c r="F326" s="2" t="s">
        <v>2498</v>
      </c>
      <c r="G326" s="2"/>
      <c r="H326" s="2" t="s">
        <v>2425</v>
      </c>
      <c r="I326" s="2" t="s">
        <v>2499</v>
      </c>
      <c r="J326" s="3">
        <v>42598</v>
      </c>
      <c r="K326" s="2" t="str">
        <f>HYPERLINK("https://docs.wto.org/imrd/directdoc.asp?DDFDocuments/t/G/SPS/NCAN1035.DOC")</f>
        <v>https://docs.wto.org/imrd/directdoc.asp?DDFDocuments/t/G/SPS/NCAN1035.DOC</v>
      </c>
      <c r="L326" s="2" t="str">
        <f>HYPERLINK("https://docs.wto.org/imrd/directdoc.asp?DDFDocuments/u/G/SPS/NCAN1035.DOC")</f>
        <v>https://docs.wto.org/imrd/directdoc.asp?DDFDocuments/u/G/SPS/NCAN1035.DOC</v>
      </c>
      <c r="M326" s="2" t="str">
        <f>HYPERLINK("https://docs.wto.org/imrd/directdoc.asp?DDFDocuments/v/G/SPS/NCAN1035.DOC")</f>
        <v>https://docs.wto.org/imrd/directdoc.asp?DDFDocuments/v/G/SPS/NCAN1035.DOC</v>
      </c>
      <c r="N326" s="2" t="str">
        <f>HYPERLINK("http://www.epingalert.org/#/details/G/SPS/N/CAN/1035")</f>
        <v>http://www.epingalert.org/#/details/G/SPS/N/CAN/1035</v>
      </c>
      <c r="O326" s="2"/>
    </row>
    <row r="327" spans="1:15" ht="240" customHeight="1" outlineLevel="1" x14ac:dyDescent="0.25">
      <c r="A327" s="2" t="s">
        <v>25</v>
      </c>
      <c r="B327" s="2" t="s">
        <v>2843</v>
      </c>
      <c r="C327" s="2" t="s">
        <v>2528</v>
      </c>
      <c r="D327" s="2" t="s">
        <v>2844</v>
      </c>
      <c r="E327" s="3">
        <v>42534</v>
      </c>
      <c r="F327" s="2" t="s">
        <v>299</v>
      </c>
      <c r="G327" s="2"/>
      <c r="H327" s="2" t="s">
        <v>2425</v>
      </c>
      <c r="I327" s="2" t="s">
        <v>2845</v>
      </c>
      <c r="J327" s="3">
        <v>42594</v>
      </c>
      <c r="K327" s="2" t="str">
        <f>HYPERLINK("https://docs.wto.org/imrd/directdoc.asp?DDFDocuments/t/G/SPS/NKOR538.DOC")</f>
        <v>https://docs.wto.org/imrd/directdoc.asp?DDFDocuments/t/G/SPS/NKOR538.DOC</v>
      </c>
      <c r="L327" s="2" t="str">
        <f>HYPERLINK("https://docs.wto.org/imrd/directdoc.asp?DDFDocuments/u/G/SPS/NKOR538.DOC")</f>
        <v>https://docs.wto.org/imrd/directdoc.asp?DDFDocuments/u/G/SPS/NKOR538.DOC</v>
      </c>
      <c r="M327" s="2" t="str">
        <f>HYPERLINK("https://docs.wto.org/imrd/directdoc.asp?DDFDocuments/v/G/SPS/NKOR538.DOC")</f>
        <v>https://docs.wto.org/imrd/directdoc.asp?DDFDocuments/v/G/SPS/NKOR538.DOC</v>
      </c>
      <c r="N327" s="2" t="str">
        <f>HYPERLINK("http://www.epingalert.org/#/details/G/SPS/N/KOR/538")</f>
        <v>http://www.epingalert.org/#/details/G/SPS/N/KOR/538</v>
      </c>
      <c r="O327" s="2"/>
    </row>
    <row r="328" spans="1:15" ht="240" customHeight="1" outlineLevel="1" x14ac:dyDescent="0.25">
      <c r="A328" s="2" t="s">
        <v>18</v>
      </c>
      <c r="B328" s="2" t="s">
        <v>2841</v>
      </c>
      <c r="C328" s="2"/>
      <c r="D328" s="2"/>
      <c r="E328" s="3">
        <v>42534</v>
      </c>
      <c r="F328" s="2" t="s">
        <v>2671</v>
      </c>
      <c r="G328" s="2" t="s">
        <v>2842</v>
      </c>
      <c r="H328" s="2" t="s">
        <v>2425</v>
      </c>
      <c r="I328" s="2" t="s">
        <v>2491</v>
      </c>
      <c r="J328" s="2"/>
      <c r="K328" s="2" t="str">
        <f>HYPERLINK("https://docs.wto.org/imrd/directdoc.asp?DDFDocuments/t/G/SPS/NUSA2862A1.DOC")</f>
        <v>https://docs.wto.org/imrd/directdoc.asp?DDFDocuments/t/G/SPS/NUSA2862A1.DOC</v>
      </c>
      <c r="L328" s="2" t="str">
        <f>HYPERLINK("https://docs.wto.org/imrd/directdoc.asp?DDFDocuments/u/G/SPS/NUSA2862A1.DOC")</f>
        <v>https://docs.wto.org/imrd/directdoc.asp?DDFDocuments/u/G/SPS/NUSA2862A1.DOC</v>
      </c>
      <c r="M328" s="2" t="str">
        <f>HYPERLINK("https://docs.wto.org/imrd/directdoc.asp?DDFDocuments/v/G/SPS/NUSA2862A1.DOC")</f>
        <v>https://docs.wto.org/imrd/directdoc.asp?DDFDocuments/v/G/SPS/NUSA2862A1.DOC</v>
      </c>
      <c r="N328" s="2" t="str">
        <f>HYPERLINK("http://www.epingalert.org/#/details/G/SPS/N/USA/2862/Add.1")</f>
        <v>http://www.epingalert.org/#/details/G/SPS/N/USA/2862/Add.1</v>
      </c>
      <c r="O328" s="2"/>
    </row>
    <row r="329" spans="1:15" ht="240" customHeight="1" outlineLevel="1" x14ac:dyDescent="0.25">
      <c r="A329" s="2" t="s">
        <v>2846</v>
      </c>
      <c r="B329" s="2" t="s">
        <v>2847</v>
      </c>
      <c r="C329" s="2" t="s">
        <v>2848</v>
      </c>
      <c r="D329" s="2" t="s">
        <v>2849</v>
      </c>
      <c r="E329" s="3">
        <v>42530</v>
      </c>
      <c r="F329" s="2" t="s">
        <v>46</v>
      </c>
      <c r="G329" s="2"/>
      <c r="H329" s="2" t="s">
        <v>2425</v>
      </c>
      <c r="I329" s="2" t="s">
        <v>2850</v>
      </c>
      <c r="J329" s="2"/>
      <c r="K329" s="2" t="str">
        <f>HYPERLINK("https://docs.wto.org/imrd/directdoc.asp?DDFDocuments/t/G/SPS/NMAC19.DOC")</f>
        <v>https://docs.wto.org/imrd/directdoc.asp?DDFDocuments/t/G/SPS/NMAC19.DOC</v>
      </c>
      <c r="L329" s="2" t="str">
        <f>HYPERLINK("https://docs.wto.org/imrd/directdoc.asp?DDFDocuments/u/G/SPS/NMAC19.DOC")</f>
        <v>https://docs.wto.org/imrd/directdoc.asp?DDFDocuments/u/G/SPS/NMAC19.DOC</v>
      </c>
      <c r="M329" s="2" t="str">
        <f>HYPERLINK("https://docs.wto.org/imrd/directdoc.asp?DDFDocuments/v/G/SPS/NMAC19.DOC")</f>
        <v>https://docs.wto.org/imrd/directdoc.asp?DDFDocuments/v/G/SPS/NMAC19.DOC</v>
      </c>
      <c r="N329" s="2" t="str">
        <f>HYPERLINK("http://www.epingalert.org/#/details/G/SPS/N/MAC/19")</f>
        <v>http://www.epingalert.org/#/details/G/SPS/N/MAC/19</v>
      </c>
      <c r="O329" s="2"/>
    </row>
    <row r="330" spans="1:15" ht="240" customHeight="1" outlineLevel="1" x14ac:dyDescent="0.25">
      <c r="A330" s="2" t="s">
        <v>77</v>
      </c>
      <c r="B330" s="2" t="s">
        <v>2851</v>
      </c>
      <c r="C330" s="2" t="s">
        <v>2852</v>
      </c>
      <c r="D330" s="2" t="s">
        <v>2853</v>
      </c>
      <c r="E330" s="3">
        <v>42529</v>
      </c>
      <c r="F330" s="2" t="s">
        <v>2854</v>
      </c>
      <c r="G330" s="2" t="s">
        <v>2855</v>
      </c>
      <c r="H330" s="2" t="s">
        <v>2425</v>
      </c>
      <c r="I330" s="2" t="s">
        <v>2461</v>
      </c>
      <c r="J330" s="3">
        <v>42589</v>
      </c>
      <c r="K330" s="2" t="str">
        <f>HYPERLINK("https://docs.wto.org/imrd/directdoc.asp?DDFDocuments/t/G/SPS/NTPKM400.DOC")</f>
        <v>https://docs.wto.org/imrd/directdoc.asp?DDFDocuments/t/G/SPS/NTPKM400.DOC</v>
      </c>
      <c r="L330" s="2" t="str">
        <f>HYPERLINK("https://docs.wto.org/imrd/directdoc.asp?DDFDocuments/u/G/SPS/NTPKM400.DOC")</f>
        <v>https://docs.wto.org/imrd/directdoc.asp?DDFDocuments/u/G/SPS/NTPKM400.DOC</v>
      </c>
      <c r="M330" s="2" t="str">
        <f>HYPERLINK("https://docs.wto.org/imrd/directdoc.asp?DDFDocuments/v/G/SPS/NTPKM400.DOC")</f>
        <v>https://docs.wto.org/imrd/directdoc.asp?DDFDocuments/v/G/SPS/NTPKM400.DOC</v>
      </c>
      <c r="N330" s="2" t="str">
        <f>HYPERLINK("http://www.epingalert.org/#/details/G/SPS/N/TPKM/400")</f>
        <v>http://www.epingalert.org/#/details/G/SPS/N/TPKM/400</v>
      </c>
      <c r="O330" s="2"/>
    </row>
    <row r="331" spans="1:15" ht="240" customHeight="1" outlineLevel="1" x14ac:dyDescent="0.25">
      <c r="A331" s="2" t="s">
        <v>225</v>
      </c>
      <c r="B331" s="2" t="s">
        <v>2864</v>
      </c>
      <c r="C331" s="2" t="s">
        <v>2865</v>
      </c>
      <c r="D331" s="2" t="s">
        <v>2494</v>
      </c>
      <c r="E331" s="3">
        <v>42529</v>
      </c>
      <c r="F331" s="2" t="s">
        <v>2430</v>
      </c>
      <c r="G331" s="2"/>
      <c r="H331" s="2" t="s">
        <v>2425</v>
      </c>
      <c r="I331" s="2" t="s">
        <v>2431</v>
      </c>
      <c r="J331" s="3">
        <v>42587</v>
      </c>
      <c r="K331" s="2" t="str">
        <f>HYPERLINK("https://docs.wto.org/imrd/directdoc.asp?DDFDocuments/t/G/SPS/NAUS388.DOC")</f>
        <v>https://docs.wto.org/imrd/directdoc.asp?DDFDocuments/t/G/SPS/NAUS388.DOC</v>
      </c>
      <c r="L331" s="2" t="str">
        <f>HYPERLINK("https://docs.wto.org/imrd/directdoc.asp?DDFDocuments/u/G/SPS/NAUS388.DOC")</f>
        <v>https://docs.wto.org/imrd/directdoc.asp?DDFDocuments/u/G/SPS/NAUS388.DOC</v>
      </c>
      <c r="M331" s="2" t="str">
        <f>HYPERLINK("https://docs.wto.org/imrd/directdoc.asp?DDFDocuments/v/G/SPS/NAUS388.DOC")</f>
        <v>https://docs.wto.org/imrd/directdoc.asp?DDFDocuments/v/G/SPS/NAUS388.DOC</v>
      </c>
      <c r="N331" s="2" t="str">
        <f>HYPERLINK("http://www.epingalert.org/#/details/G/SPS/N/AUS/388")</f>
        <v>http://www.epingalert.org/#/details/G/SPS/N/AUS/388</v>
      </c>
      <c r="O331" s="2"/>
    </row>
    <row r="332" spans="1:15" ht="240" customHeight="1" outlineLevel="1" x14ac:dyDescent="0.25">
      <c r="A332" s="2" t="s">
        <v>42</v>
      </c>
      <c r="B332" s="2" t="s">
        <v>2856</v>
      </c>
      <c r="C332" s="2" t="s">
        <v>2857</v>
      </c>
      <c r="D332" s="2" t="s">
        <v>2858</v>
      </c>
      <c r="E332" s="3">
        <v>42529</v>
      </c>
      <c r="F332" s="2" t="s">
        <v>2859</v>
      </c>
      <c r="G332" s="2"/>
      <c r="H332" s="2" t="s">
        <v>2425</v>
      </c>
      <c r="I332" s="2" t="s">
        <v>2453</v>
      </c>
      <c r="J332" s="3">
        <v>42546</v>
      </c>
      <c r="K332" s="2" t="str">
        <f>HYPERLINK("https://docs.wto.org/imrd/directdoc.asp?DDFDocuments/t/G/SPS/NBRA1132.DOC")</f>
        <v>https://docs.wto.org/imrd/directdoc.asp?DDFDocuments/t/G/SPS/NBRA1132.DOC</v>
      </c>
      <c r="L332" s="2" t="str">
        <f>HYPERLINK("https://docs.wto.org/imrd/directdoc.asp?DDFDocuments/u/G/SPS/NBRA1132.DOC")</f>
        <v>https://docs.wto.org/imrd/directdoc.asp?DDFDocuments/u/G/SPS/NBRA1132.DOC</v>
      </c>
      <c r="M332" s="2" t="str">
        <f>HYPERLINK("https://docs.wto.org/imrd/directdoc.asp?DDFDocuments/v/G/SPS/NBRA1132.DOC")</f>
        <v>https://docs.wto.org/imrd/directdoc.asp?DDFDocuments/v/G/SPS/NBRA1132.DOC</v>
      </c>
      <c r="N332" s="2" t="str">
        <f>HYPERLINK("http://www.epingalert.org/#/details/G/SPS/N/BRA/1132")</f>
        <v>http://www.epingalert.org/#/details/G/SPS/N/BRA/1132</v>
      </c>
      <c r="O332" s="2"/>
    </row>
    <row r="333" spans="1:15" ht="240" customHeight="1" outlineLevel="1" x14ac:dyDescent="0.25">
      <c r="A333" s="2" t="s">
        <v>42</v>
      </c>
      <c r="B333" s="2" t="s">
        <v>2860</v>
      </c>
      <c r="C333" s="2" t="s">
        <v>2861</v>
      </c>
      <c r="D333" s="2" t="s">
        <v>2862</v>
      </c>
      <c r="E333" s="3">
        <v>42529</v>
      </c>
      <c r="F333" s="2" t="s">
        <v>2863</v>
      </c>
      <c r="G333" s="2"/>
      <c r="H333" s="2" t="s">
        <v>2425</v>
      </c>
      <c r="I333" s="2" t="s">
        <v>2453</v>
      </c>
      <c r="J333" s="3">
        <v>42546</v>
      </c>
      <c r="K333" s="2" t="str">
        <f>HYPERLINK("https://docs.wto.org/imrd/directdoc.asp?DDFDocuments/t/G/SPS/NBRA1124.DOC")</f>
        <v>https://docs.wto.org/imrd/directdoc.asp?DDFDocuments/t/G/SPS/NBRA1124.DOC</v>
      </c>
      <c r="L333" s="2" t="str">
        <f>HYPERLINK("https://docs.wto.org/imrd/directdoc.asp?DDFDocuments/u/G/SPS/NBRA1124.DOC")</f>
        <v>https://docs.wto.org/imrd/directdoc.asp?DDFDocuments/u/G/SPS/NBRA1124.DOC</v>
      </c>
      <c r="M333" s="2" t="str">
        <f>HYPERLINK("https://docs.wto.org/imrd/directdoc.asp?DDFDocuments/v/G/SPS/NBRA1124.DOC")</f>
        <v>https://docs.wto.org/imrd/directdoc.asp?DDFDocuments/v/G/SPS/NBRA1124.DOC</v>
      </c>
      <c r="N333" s="2" t="str">
        <f>HYPERLINK("http://www.epingalert.org/#/details/G/SPS/N/BRA/1124")</f>
        <v>http://www.epingalert.org/#/details/G/SPS/N/BRA/1124</v>
      </c>
      <c r="O333" s="2"/>
    </row>
    <row r="334" spans="1:15" ht="240" customHeight="1" outlineLevel="1" x14ac:dyDescent="0.25">
      <c r="A334" s="2" t="s">
        <v>77</v>
      </c>
      <c r="B334" s="2" t="s">
        <v>7017</v>
      </c>
      <c r="C334" s="2"/>
      <c r="D334" s="2"/>
      <c r="E334" s="3">
        <v>42529</v>
      </c>
      <c r="F334" s="2" t="s">
        <v>7018</v>
      </c>
      <c r="G334" s="2" t="s">
        <v>7019</v>
      </c>
      <c r="H334" s="2" t="s">
        <v>2467</v>
      </c>
      <c r="I334" s="2" t="s">
        <v>2444</v>
      </c>
      <c r="J334" s="2"/>
      <c r="K334" s="2" t="str">
        <f>HYPERLINK("https://docs.wto.org/imrd/directdoc.asp?DDFDocuments/t/G/SPS/NTPKM386A1.DOC")</f>
        <v>https://docs.wto.org/imrd/directdoc.asp?DDFDocuments/t/G/SPS/NTPKM386A1.DOC</v>
      </c>
      <c r="L334" s="2" t="str">
        <f>HYPERLINK("https://docs.wto.org/imrd/directdoc.asp?DDFDocuments/u/G/SPS/NTPKM386A1.DOC")</f>
        <v>https://docs.wto.org/imrd/directdoc.asp?DDFDocuments/u/G/SPS/NTPKM386A1.DOC</v>
      </c>
      <c r="M334" s="2" t="str">
        <f>HYPERLINK("https://docs.wto.org/imrd/directdoc.asp?DDFDocuments/v/G/SPS/NTPKM386A1.DOC")</f>
        <v>https://docs.wto.org/imrd/directdoc.asp?DDFDocuments/v/G/SPS/NTPKM386A1.DOC</v>
      </c>
      <c r="N334" s="2" t="str">
        <f>HYPERLINK("http://www.epingalert.org/#/details/G/SPS/N/TPKM/386/Add.1")</f>
        <v>http://www.epingalert.org/#/details/G/SPS/N/TPKM/386/Add.1</v>
      </c>
      <c r="O334" s="2"/>
    </row>
    <row r="335" spans="1:15" ht="240" customHeight="1" outlineLevel="1" x14ac:dyDescent="0.25">
      <c r="A335" s="2" t="s">
        <v>115</v>
      </c>
      <c r="B335" s="2" t="s">
        <v>2866</v>
      </c>
      <c r="C335" s="2" t="s">
        <v>2867</v>
      </c>
      <c r="D335" s="2" t="s">
        <v>2868</v>
      </c>
      <c r="E335" s="3">
        <v>42528</v>
      </c>
      <c r="F335" s="2" t="s">
        <v>2869</v>
      </c>
      <c r="G335" s="2"/>
      <c r="H335" s="2" t="s">
        <v>2425</v>
      </c>
      <c r="I335" s="2" t="s">
        <v>2426</v>
      </c>
      <c r="J335" s="2"/>
      <c r="K335" s="2" t="str">
        <f>HYPERLINK("https://docs.wto.org/imrd/directdoc.asp?DDFDocuments/t/G/SPS/NJPN465.DOC")</f>
        <v>https://docs.wto.org/imrd/directdoc.asp?DDFDocuments/t/G/SPS/NJPN465.DOC</v>
      </c>
      <c r="L335" s="2" t="str">
        <f>HYPERLINK("https://docs.wto.org/imrd/directdoc.asp?DDFDocuments/u/G/SPS/NJPN465.DOC")</f>
        <v>https://docs.wto.org/imrd/directdoc.asp?DDFDocuments/u/G/SPS/NJPN465.DOC</v>
      </c>
      <c r="M335" s="2" t="str">
        <f>HYPERLINK("https://docs.wto.org/imrd/directdoc.asp?DDFDocuments/v/G/SPS/NJPN465.DOC")</f>
        <v>https://docs.wto.org/imrd/directdoc.asp?DDFDocuments/v/G/SPS/NJPN465.DOC</v>
      </c>
      <c r="N335" s="2" t="str">
        <f>HYPERLINK("http://www.epingalert.org/#/details/G/SPS/N/JPN/465")</f>
        <v>http://www.epingalert.org/#/details/G/SPS/N/JPN/465</v>
      </c>
      <c r="O335" s="2"/>
    </row>
    <row r="336" spans="1:15" ht="240" customHeight="1" outlineLevel="1" x14ac:dyDescent="0.25">
      <c r="A336" s="2" t="s">
        <v>115</v>
      </c>
      <c r="B336" s="2" t="s">
        <v>2870</v>
      </c>
      <c r="C336" s="2" t="s">
        <v>2622</v>
      </c>
      <c r="D336" s="2" t="s">
        <v>2871</v>
      </c>
      <c r="E336" s="3">
        <v>42528</v>
      </c>
      <c r="F336" s="2" t="s">
        <v>2872</v>
      </c>
      <c r="G336" s="2"/>
      <c r="H336" s="2" t="s">
        <v>2425</v>
      </c>
      <c r="I336" s="2" t="s">
        <v>2426</v>
      </c>
      <c r="J336" s="2"/>
      <c r="K336" s="2" t="str">
        <f>HYPERLINK("https://docs.wto.org/imrd/directdoc.asp?DDFDocuments/t/G/SPS/NJPN464.DOC")</f>
        <v>https://docs.wto.org/imrd/directdoc.asp?DDFDocuments/t/G/SPS/NJPN464.DOC</v>
      </c>
      <c r="L336" s="2" t="str">
        <f>HYPERLINK("https://docs.wto.org/imrd/directdoc.asp?DDFDocuments/u/G/SPS/NJPN464.DOC")</f>
        <v>https://docs.wto.org/imrd/directdoc.asp?DDFDocuments/u/G/SPS/NJPN464.DOC</v>
      </c>
      <c r="M336" s="2" t="str">
        <f>HYPERLINK("https://docs.wto.org/imrd/directdoc.asp?DDFDocuments/v/G/SPS/NJPN464.DOC")</f>
        <v>https://docs.wto.org/imrd/directdoc.asp?DDFDocuments/v/G/SPS/NJPN464.DOC</v>
      </c>
      <c r="N336" s="2" t="str">
        <f>HYPERLINK("http://www.epingalert.org/#/details/G/SPS/N/JPN/464")</f>
        <v>http://www.epingalert.org/#/details/G/SPS/N/JPN/464</v>
      </c>
      <c r="O336" s="2"/>
    </row>
    <row r="337" spans="1:15" ht="240" customHeight="1" outlineLevel="1" x14ac:dyDescent="0.25">
      <c r="A337" s="2" t="s">
        <v>42</v>
      </c>
      <c r="B337" s="2" t="s">
        <v>2873</v>
      </c>
      <c r="C337" s="2" t="s">
        <v>2874</v>
      </c>
      <c r="D337" s="2" t="s">
        <v>2875</v>
      </c>
      <c r="E337" s="3">
        <v>42527</v>
      </c>
      <c r="F337" s="2" t="s">
        <v>2876</v>
      </c>
      <c r="G337" s="2"/>
      <c r="H337" s="2" t="s">
        <v>2425</v>
      </c>
      <c r="I337" s="2" t="s">
        <v>2453</v>
      </c>
      <c r="J337" s="3">
        <v>42546</v>
      </c>
      <c r="K337" s="2" t="str">
        <f>HYPERLINK("https://docs.wto.org/imrd/directdoc.asp?DDFDocuments/t/G/SPS/NBRA1114.DOC")</f>
        <v>https://docs.wto.org/imrd/directdoc.asp?DDFDocuments/t/G/SPS/NBRA1114.DOC</v>
      </c>
      <c r="L337" s="2" t="str">
        <f>HYPERLINK("https://docs.wto.org/imrd/directdoc.asp?DDFDocuments/u/G/SPS/NBRA1114.DOC")</f>
        <v>https://docs.wto.org/imrd/directdoc.asp?DDFDocuments/u/G/SPS/NBRA1114.DOC</v>
      </c>
      <c r="M337" s="2" t="str">
        <f>HYPERLINK("https://docs.wto.org/imrd/directdoc.asp?DDFDocuments/v/G/SPS/NBRA1114.DOC")</f>
        <v>https://docs.wto.org/imrd/directdoc.asp?DDFDocuments/v/G/SPS/NBRA1114.DOC</v>
      </c>
      <c r="N337" s="2" t="str">
        <f>HYPERLINK("http://www.epingalert.org/#/details/G/SPS/N/BRA/1114")</f>
        <v>http://www.epingalert.org/#/details/G/SPS/N/BRA/1114</v>
      </c>
      <c r="O337" s="2"/>
    </row>
    <row r="338" spans="1:15" ht="240" customHeight="1" outlineLevel="1" x14ac:dyDescent="0.25">
      <c r="A338" s="2" t="s">
        <v>42</v>
      </c>
      <c r="B338" s="2" t="s">
        <v>2877</v>
      </c>
      <c r="C338" s="2" t="s">
        <v>2878</v>
      </c>
      <c r="D338" s="2" t="s">
        <v>2879</v>
      </c>
      <c r="E338" s="3">
        <v>42527</v>
      </c>
      <c r="F338" s="2" t="s">
        <v>2879</v>
      </c>
      <c r="G338" s="2"/>
      <c r="H338" s="2" t="s">
        <v>2425</v>
      </c>
      <c r="I338" s="2" t="s">
        <v>2453</v>
      </c>
      <c r="J338" s="3">
        <v>42546</v>
      </c>
      <c r="K338" s="2" t="str">
        <f>HYPERLINK("https://docs.wto.org/imrd/directdoc.asp?DDFDocuments/t/G/SPS/NBRA1117.DOC")</f>
        <v>https://docs.wto.org/imrd/directdoc.asp?DDFDocuments/t/G/SPS/NBRA1117.DOC</v>
      </c>
      <c r="L338" s="2" t="str">
        <f>HYPERLINK("https://docs.wto.org/imrd/directdoc.asp?DDFDocuments/u/G/SPS/NBRA1117.DOC")</f>
        <v>https://docs.wto.org/imrd/directdoc.asp?DDFDocuments/u/G/SPS/NBRA1117.DOC</v>
      </c>
      <c r="M338" s="2" t="str">
        <f>HYPERLINK("https://docs.wto.org/imrd/directdoc.asp?DDFDocuments/v/G/SPS/NBRA1117.DOC")</f>
        <v>https://docs.wto.org/imrd/directdoc.asp?DDFDocuments/v/G/SPS/NBRA1117.DOC</v>
      </c>
      <c r="N338" s="2" t="str">
        <f>HYPERLINK("http://www.epingalert.org/#/details/G/SPS/N/BRA/1117")</f>
        <v>http://www.epingalert.org/#/details/G/SPS/N/BRA/1117</v>
      </c>
      <c r="O338" s="2"/>
    </row>
    <row r="339" spans="1:15" ht="240" customHeight="1" outlineLevel="1" x14ac:dyDescent="0.25">
      <c r="A339" s="2" t="s">
        <v>42</v>
      </c>
      <c r="B339" s="2" t="s">
        <v>2880</v>
      </c>
      <c r="C339" s="2" t="s">
        <v>2881</v>
      </c>
      <c r="D339" s="2" t="s">
        <v>2882</v>
      </c>
      <c r="E339" s="3">
        <v>42527</v>
      </c>
      <c r="F339" s="2" t="s">
        <v>2883</v>
      </c>
      <c r="G339" s="2"/>
      <c r="H339" s="2" t="s">
        <v>2425</v>
      </c>
      <c r="I339" s="2" t="s">
        <v>2453</v>
      </c>
      <c r="J339" s="3">
        <v>42546</v>
      </c>
      <c r="K339" s="2" t="str">
        <f>HYPERLINK("https://docs.wto.org/imrd/directdoc.asp?DDFDocuments/t/G/SPS/NBRA1115.DOC")</f>
        <v>https://docs.wto.org/imrd/directdoc.asp?DDFDocuments/t/G/SPS/NBRA1115.DOC</v>
      </c>
      <c r="L339" s="2" t="str">
        <f>HYPERLINK("https://docs.wto.org/imrd/directdoc.asp?DDFDocuments/u/G/SPS/NBRA1115.DOC")</f>
        <v>https://docs.wto.org/imrd/directdoc.asp?DDFDocuments/u/G/SPS/NBRA1115.DOC</v>
      </c>
      <c r="M339" s="2" t="str">
        <f>HYPERLINK("https://docs.wto.org/imrd/directdoc.asp?DDFDocuments/v/G/SPS/NBRA1115.DOC")</f>
        <v>https://docs.wto.org/imrd/directdoc.asp?DDFDocuments/v/G/SPS/NBRA1115.DOC</v>
      </c>
      <c r="N339" s="2" t="str">
        <f>HYPERLINK("http://www.epingalert.org/#/details/G/SPS/N/BRA/1115")</f>
        <v>http://www.epingalert.org/#/details/G/SPS/N/BRA/1115</v>
      </c>
      <c r="O339" s="2"/>
    </row>
    <row r="340" spans="1:15" ht="240" customHeight="1" outlineLevel="1" x14ac:dyDescent="0.25">
      <c r="A340" s="2" t="s">
        <v>115</v>
      </c>
      <c r="B340" s="2" t="s">
        <v>7021</v>
      </c>
      <c r="C340" s="2" t="s">
        <v>7022</v>
      </c>
      <c r="D340" s="2" t="s">
        <v>7023</v>
      </c>
      <c r="E340" s="3">
        <v>42527</v>
      </c>
      <c r="F340" s="2" t="s">
        <v>7024</v>
      </c>
      <c r="G340" s="2" t="s">
        <v>7025</v>
      </c>
      <c r="H340" s="2" t="s">
        <v>2425</v>
      </c>
      <c r="I340" s="2" t="s">
        <v>7026</v>
      </c>
      <c r="J340" s="2"/>
      <c r="K340" s="2" t="str">
        <f>HYPERLINK("https://docs.wto.org/imrd/directdoc.asp?DDFDocuments/t/G/SPS/NJPN463.DOC")</f>
        <v>https://docs.wto.org/imrd/directdoc.asp?DDFDocuments/t/G/SPS/NJPN463.DOC</v>
      </c>
      <c r="L340" s="2" t="str">
        <f>HYPERLINK("https://docs.wto.org/imrd/directdoc.asp?DDFDocuments/u/G/SPS/NJPN463.DOC")</f>
        <v>https://docs.wto.org/imrd/directdoc.asp?DDFDocuments/u/G/SPS/NJPN463.DOC</v>
      </c>
      <c r="M340" s="2" t="str">
        <f>HYPERLINK("https://docs.wto.org/imrd/directdoc.asp?DDFDocuments/v/G/SPS/NJPN463.DOC")</f>
        <v>https://docs.wto.org/imrd/directdoc.asp?DDFDocuments/v/G/SPS/NJPN463.DOC</v>
      </c>
      <c r="N340" s="2" t="str">
        <f>HYPERLINK("http://www.epingalert.org/#/details/G/SPS/N/JPN/463")</f>
        <v>http://www.epingalert.org/#/details/G/SPS/N/JPN/463</v>
      </c>
      <c r="O340" s="2"/>
    </row>
    <row r="341" spans="1:15" ht="240" customHeight="1" outlineLevel="1" x14ac:dyDescent="0.25">
      <c r="A341" s="2" t="s">
        <v>18</v>
      </c>
      <c r="B341" s="2" t="s">
        <v>6600</v>
      </c>
      <c r="C341" s="2"/>
      <c r="D341" s="2"/>
      <c r="E341" s="3">
        <v>42523</v>
      </c>
      <c r="F341" s="2" t="s">
        <v>6601</v>
      </c>
      <c r="G341" s="2" t="s">
        <v>6602</v>
      </c>
      <c r="H341" s="2" t="s">
        <v>2425</v>
      </c>
      <c r="I341" s="2" t="s">
        <v>2444</v>
      </c>
      <c r="J341" s="2"/>
      <c r="K341" s="2" t="str">
        <f>HYPERLINK("https://docs.wto.org/imrd/directdoc.asp?DDFDocuments/t/G/SPS/NUSA2610A2.DOC")</f>
        <v>https://docs.wto.org/imrd/directdoc.asp?DDFDocuments/t/G/SPS/NUSA2610A2.DOC</v>
      </c>
      <c r="L341" s="2" t="str">
        <f>HYPERLINK("https://docs.wto.org/imrd/directdoc.asp?DDFDocuments/u/G/SPS/NUSA2610A2.DOC")</f>
        <v>https://docs.wto.org/imrd/directdoc.asp?DDFDocuments/u/G/SPS/NUSA2610A2.DOC</v>
      </c>
      <c r="M341" s="2" t="str">
        <f>HYPERLINK("https://docs.wto.org/imrd/directdoc.asp?DDFDocuments/v/G/SPS/NUSA2610A2.DOC")</f>
        <v>https://docs.wto.org/imrd/directdoc.asp?DDFDocuments/v/G/SPS/NUSA2610A2.DOC</v>
      </c>
      <c r="N341" s="2" t="str">
        <f>HYPERLINK("http://www.epingalert.org/#/details/G/SPS/N/USA/2610/Add.2")</f>
        <v>http://www.epingalert.org/#/details/G/SPS/N/USA/2610/Add.2</v>
      </c>
      <c r="O341" s="2"/>
    </row>
    <row r="342" spans="1:15" ht="240" customHeight="1" outlineLevel="1" x14ac:dyDescent="0.25">
      <c r="A342" s="2" t="s">
        <v>2930</v>
      </c>
      <c r="B342" s="2" t="s">
        <v>6603</v>
      </c>
      <c r="C342" s="2" t="s">
        <v>6604</v>
      </c>
      <c r="D342" s="2" t="s">
        <v>6605</v>
      </c>
      <c r="E342" s="3">
        <v>42522</v>
      </c>
      <c r="F342" s="2" t="s">
        <v>6606</v>
      </c>
      <c r="G342" s="2" t="s">
        <v>6607</v>
      </c>
      <c r="H342" s="2" t="s">
        <v>2425</v>
      </c>
      <c r="I342" s="2" t="s">
        <v>6549</v>
      </c>
      <c r="J342" s="2"/>
      <c r="K342" s="2" t="str">
        <f>HYPERLINK("https://docs.wto.org/imrd/directdoc.asp?DDFDocuments/t/G/SPS/NLKA39.DOC")</f>
        <v>https://docs.wto.org/imrd/directdoc.asp?DDFDocuments/t/G/SPS/NLKA39.DOC</v>
      </c>
      <c r="L342" s="2" t="str">
        <f>HYPERLINK("https://docs.wto.org/imrd/directdoc.asp?DDFDocuments/u/G/SPS/NLKA39.DOC")</f>
        <v>https://docs.wto.org/imrd/directdoc.asp?DDFDocuments/u/G/SPS/NLKA39.DOC</v>
      </c>
      <c r="M342" s="2" t="str">
        <f>HYPERLINK("https://docs.wto.org/imrd/directdoc.asp?DDFDocuments/v/G/SPS/NLKA39.DOC")</f>
        <v>https://docs.wto.org/imrd/directdoc.asp?DDFDocuments/v/G/SPS/NLKA39.DOC</v>
      </c>
      <c r="N342" s="2" t="str">
        <f>HYPERLINK("http://www.epingalert.org/#/details/G/SPS/N/LKA/39")</f>
        <v>http://www.epingalert.org/#/details/G/SPS/N/LKA/39</v>
      </c>
      <c r="O342" s="2"/>
    </row>
    <row r="343" spans="1:15" ht="240" customHeight="1" outlineLevel="1" x14ac:dyDescent="0.25">
      <c r="A343" s="2" t="s">
        <v>6732</v>
      </c>
      <c r="B343" s="2" t="s">
        <v>7027</v>
      </c>
      <c r="C343" s="2"/>
      <c r="D343" s="2"/>
      <c r="E343" s="3">
        <v>42517</v>
      </c>
      <c r="F343" s="2"/>
      <c r="G343" s="2" t="s">
        <v>7028</v>
      </c>
      <c r="H343" s="2" t="s">
        <v>2573</v>
      </c>
      <c r="I343" s="2" t="s">
        <v>2644</v>
      </c>
      <c r="J343" s="3">
        <v>41877</v>
      </c>
      <c r="K343" s="2" t="str">
        <f>HYPERLINK("https://docs.wto.org/imrd/directdoc.asp?DDFDocuments/t/G/SPS/NCOL262.DOC")</f>
        <v>https://docs.wto.org/imrd/directdoc.asp?DDFDocuments/t/G/SPS/NCOL262.DOC</v>
      </c>
      <c r="L343" s="2" t="str">
        <f>HYPERLINK("https://docs.wto.org/imrd/directdoc.asp?DDFDocuments/u/G/SPS/NCOL262.DOC")</f>
        <v>https://docs.wto.org/imrd/directdoc.asp?DDFDocuments/u/G/SPS/NCOL262.DOC</v>
      </c>
      <c r="M343" s="2" t="str">
        <f>HYPERLINK("https://docs.wto.org/imrd/directdoc.asp?DDFDocuments/v/G/SPS/NCOL262.DOC")</f>
        <v>https://docs.wto.org/imrd/directdoc.asp?DDFDocuments/v/G/SPS/NCOL262.DOC</v>
      </c>
      <c r="N343" s="2" t="str">
        <f>HYPERLINK("http://www.epingalert.org/#/details/G/SPS/N/COL/262")</f>
        <v>http://www.epingalert.org/#/details/G/SPS/N/COL/262</v>
      </c>
      <c r="O343" s="2"/>
    </row>
    <row r="344" spans="1:15" ht="240" customHeight="1" outlineLevel="1" x14ac:dyDescent="0.25">
      <c r="A344" s="2" t="s">
        <v>121</v>
      </c>
      <c r="B344" s="2" t="s">
        <v>2884</v>
      </c>
      <c r="C344" s="2" t="s">
        <v>2885</v>
      </c>
      <c r="D344" s="2" t="s">
        <v>2886</v>
      </c>
      <c r="E344" s="3">
        <v>42514</v>
      </c>
      <c r="F344" s="2" t="s">
        <v>2555</v>
      </c>
      <c r="G344" s="2"/>
      <c r="H344" s="2" t="s">
        <v>2425</v>
      </c>
      <c r="I344" s="2" t="s">
        <v>2461</v>
      </c>
      <c r="J344" s="3">
        <v>42574</v>
      </c>
      <c r="K344" s="2" t="str">
        <f>HYPERLINK("https://docs.wto.org/imrd/directdoc.asp?DDFDocuments/t/G/SPS/NIND148.DOC")</f>
        <v>https://docs.wto.org/imrd/directdoc.asp?DDFDocuments/t/G/SPS/NIND148.DOC</v>
      </c>
      <c r="L344" s="2" t="str">
        <f>HYPERLINK("https://docs.wto.org/imrd/directdoc.asp?DDFDocuments/u/G/SPS/NIND148.DOC")</f>
        <v>https://docs.wto.org/imrd/directdoc.asp?DDFDocuments/u/G/SPS/NIND148.DOC</v>
      </c>
      <c r="M344" s="2" t="str">
        <f>HYPERLINK("https://docs.wto.org/imrd/directdoc.asp?DDFDocuments/v/G/SPS/NIND148.DOC")</f>
        <v>https://docs.wto.org/imrd/directdoc.asp?DDFDocuments/v/G/SPS/NIND148.DOC</v>
      </c>
      <c r="N344" s="2" t="str">
        <f>HYPERLINK("http://www.epingalert.org/#/details/G/SPS/N/IND/148")</f>
        <v>http://www.epingalert.org/#/details/G/SPS/N/IND/148</v>
      </c>
      <c r="O344" s="2"/>
    </row>
    <row r="345" spans="1:15" ht="240" customHeight="1" outlineLevel="1" x14ac:dyDescent="0.25">
      <c r="A345" s="2" t="s">
        <v>121</v>
      </c>
      <c r="B345" s="2" t="s">
        <v>2892</v>
      </c>
      <c r="C345" s="2" t="s">
        <v>2570</v>
      </c>
      <c r="D345" s="2" t="s">
        <v>2893</v>
      </c>
      <c r="E345" s="3">
        <v>42514</v>
      </c>
      <c r="F345" s="2" t="s">
        <v>2894</v>
      </c>
      <c r="G345" s="2" t="s">
        <v>2895</v>
      </c>
      <c r="H345" s="2" t="s">
        <v>2425</v>
      </c>
      <c r="I345" s="2" t="s">
        <v>2461</v>
      </c>
      <c r="J345" s="3">
        <v>42574</v>
      </c>
      <c r="K345" s="2" t="str">
        <f>HYPERLINK("https://docs.wto.org/imrd/directdoc.asp?DDFDocuments/t/G/SPS/NIND147.DOC")</f>
        <v>https://docs.wto.org/imrd/directdoc.asp?DDFDocuments/t/G/SPS/NIND147.DOC</v>
      </c>
      <c r="L345" s="2" t="str">
        <f>HYPERLINK("https://docs.wto.org/imrd/directdoc.asp?DDFDocuments/u/G/SPS/NIND147.DOC")</f>
        <v>https://docs.wto.org/imrd/directdoc.asp?DDFDocuments/u/G/SPS/NIND147.DOC</v>
      </c>
      <c r="M345" s="2" t="str">
        <f>HYPERLINK("https://docs.wto.org/imrd/directdoc.asp?DDFDocuments/v/G/SPS/NIND147.DOC")</f>
        <v>https://docs.wto.org/imrd/directdoc.asp?DDFDocuments/v/G/SPS/NIND147.DOC</v>
      </c>
      <c r="N345" s="2" t="str">
        <f>HYPERLINK("http://www.epingalert.org/#/details/G/SPS/N/IND/147")</f>
        <v>http://www.epingalert.org/#/details/G/SPS/N/IND/147</v>
      </c>
      <c r="O345" s="2"/>
    </row>
    <row r="346" spans="1:15" ht="240" customHeight="1" outlineLevel="1" x14ac:dyDescent="0.25">
      <c r="A346" s="2" t="s">
        <v>18</v>
      </c>
      <c r="B346" s="2" t="s">
        <v>2896</v>
      </c>
      <c r="C346" s="2" t="s">
        <v>2897</v>
      </c>
      <c r="D346" s="2" t="s">
        <v>2898</v>
      </c>
      <c r="E346" s="3">
        <v>42514</v>
      </c>
      <c r="F346" s="2" t="s">
        <v>2671</v>
      </c>
      <c r="G346" s="2" t="s">
        <v>2899</v>
      </c>
      <c r="H346" s="2" t="s">
        <v>2425</v>
      </c>
      <c r="I346" s="2" t="s">
        <v>2597</v>
      </c>
      <c r="J346" s="3">
        <v>42570</v>
      </c>
      <c r="K346" s="2" t="str">
        <f>HYPERLINK("https://docs.wto.org/imrd/directdoc.asp?DDFDocuments/t/G/SPS/NUSA2862.DOC")</f>
        <v>https://docs.wto.org/imrd/directdoc.asp?DDFDocuments/t/G/SPS/NUSA2862.DOC</v>
      </c>
      <c r="L346" s="2" t="str">
        <f>HYPERLINK("https://docs.wto.org/imrd/directdoc.asp?DDFDocuments/u/G/SPS/NUSA2862.DOC")</f>
        <v>https://docs.wto.org/imrd/directdoc.asp?DDFDocuments/u/G/SPS/NUSA2862.DOC</v>
      </c>
      <c r="M346" s="2" t="str">
        <f>HYPERLINK("https://docs.wto.org/imrd/directdoc.asp?DDFDocuments/v/G/SPS/NUSA2862.DOC")</f>
        <v>https://docs.wto.org/imrd/directdoc.asp?DDFDocuments/v/G/SPS/NUSA2862.DOC</v>
      </c>
      <c r="N346" s="2" t="str">
        <f>HYPERLINK("http://www.epingalert.org/#/details/G/SPS/N/USA/2862")</f>
        <v>http://www.epingalert.org/#/details/G/SPS/N/USA/2862</v>
      </c>
      <c r="O346" s="2"/>
    </row>
    <row r="347" spans="1:15" ht="240" customHeight="1" outlineLevel="1" x14ac:dyDescent="0.25">
      <c r="A347" s="2" t="s">
        <v>184</v>
      </c>
      <c r="B347" s="2" t="s">
        <v>2887</v>
      </c>
      <c r="C347" s="2" t="s">
        <v>2888</v>
      </c>
      <c r="D347" s="2" t="s">
        <v>2889</v>
      </c>
      <c r="E347" s="3">
        <v>42514</v>
      </c>
      <c r="F347" s="2" t="s">
        <v>2551</v>
      </c>
      <c r="G347" s="2"/>
      <c r="H347" s="2" t="s">
        <v>2890</v>
      </c>
      <c r="I347" s="2" t="s">
        <v>2891</v>
      </c>
      <c r="J347" s="3">
        <v>42569</v>
      </c>
      <c r="K347" s="2" t="str">
        <f>HYPERLINK("https://docs.wto.org/imrd/directdoc.asp?DDFDocuments/t/G/SPS/NARE72.DOC")</f>
        <v>https://docs.wto.org/imrd/directdoc.asp?DDFDocuments/t/G/SPS/NARE72.DOC</v>
      </c>
      <c r="L347" s="2" t="str">
        <f>HYPERLINK("https://docs.wto.org/imrd/directdoc.asp?DDFDocuments/u/G/SPS/NARE72.DOC")</f>
        <v>https://docs.wto.org/imrd/directdoc.asp?DDFDocuments/u/G/SPS/NARE72.DOC</v>
      </c>
      <c r="M347" s="2" t="str">
        <f>HYPERLINK("https://docs.wto.org/imrd/directdoc.asp?DDFDocuments/v/G/SPS/NARE72.DOC")</f>
        <v>https://docs.wto.org/imrd/directdoc.asp?DDFDocuments/v/G/SPS/NARE72.DOC</v>
      </c>
      <c r="N347" s="2" t="str">
        <f>HYPERLINK("http://www.epingalert.org/#/details/G/SPS/N/ARE/72")</f>
        <v>http://www.epingalert.org/#/details/G/SPS/N/ARE/72</v>
      </c>
      <c r="O347" s="2"/>
    </row>
    <row r="348" spans="1:15" ht="240" customHeight="1" outlineLevel="1" x14ac:dyDescent="0.25">
      <c r="A348" s="2" t="s">
        <v>191</v>
      </c>
      <c r="B348" s="2" t="s">
        <v>7029</v>
      </c>
      <c r="C348" s="2"/>
      <c r="D348" s="2"/>
      <c r="E348" s="3">
        <v>42514</v>
      </c>
      <c r="F348" s="2"/>
      <c r="G348" s="2" t="s">
        <v>7030</v>
      </c>
      <c r="H348" s="2" t="s">
        <v>2425</v>
      </c>
      <c r="I348" s="2" t="s">
        <v>2461</v>
      </c>
      <c r="J348" s="2"/>
      <c r="K348" s="2" t="str">
        <f>HYPERLINK("https://docs.wto.org/imrd/directdoc.asp?DDFDocuments/t/G/SPS/NGTM64.DOC")</f>
        <v>https://docs.wto.org/imrd/directdoc.asp?DDFDocuments/t/G/SPS/NGTM64.DOC</v>
      </c>
      <c r="L348" s="2" t="str">
        <f>HYPERLINK("https://docs.wto.org/imrd/directdoc.asp?DDFDocuments/u/G/SPS/NGTM64.DOC")</f>
        <v>https://docs.wto.org/imrd/directdoc.asp?DDFDocuments/u/G/SPS/NGTM64.DOC</v>
      </c>
      <c r="M348" s="2" t="str">
        <f>HYPERLINK("https://docs.wto.org/imrd/directdoc.asp?DDFDocuments/v/G/SPS/NGTM64.DOC")</f>
        <v>https://docs.wto.org/imrd/directdoc.asp?DDFDocuments/v/G/SPS/NGTM64.DOC</v>
      </c>
      <c r="N348" s="2" t="str">
        <f>HYPERLINK("http://www.epingalert.org/#/details/G/SPS/N/GTM/64")</f>
        <v>http://www.epingalert.org/#/details/G/SPS/N/GTM/64</v>
      </c>
      <c r="O348" s="2"/>
    </row>
    <row r="349" spans="1:15" ht="240" customHeight="1" outlineLevel="1" x14ac:dyDescent="0.25">
      <c r="A349" s="2" t="s">
        <v>191</v>
      </c>
      <c r="B349" s="2" t="s">
        <v>7031</v>
      </c>
      <c r="C349" s="2"/>
      <c r="D349" s="2"/>
      <c r="E349" s="3">
        <v>42514</v>
      </c>
      <c r="F349" s="2"/>
      <c r="G349" s="2" t="s">
        <v>7030</v>
      </c>
      <c r="H349" s="2" t="s">
        <v>2425</v>
      </c>
      <c r="I349" s="2" t="s">
        <v>2461</v>
      </c>
      <c r="J349" s="2"/>
      <c r="K349" s="2" t="str">
        <f>HYPERLINK("https://docs.wto.org/imrd/directdoc.asp?DDFDocuments/t/G/SPS/NGTM63.DOC")</f>
        <v>https://docs.wto.org/imrd/directdoc.asp?DDFDocuments/t/G/SPS/NGTM63.DOC</v>
      </c>
      <c r="L349" s="2" t="str">
        <f>HYPERLINK("https://docs.wto.org/imrd/directdoc.asp?DDFDocuments/u/G/SPS/NGTM63.DOC")</f>
        <v>https://docs.wto.org/imrd/directdoc.asp?DDFDocuments/u/G/SPS/NGTM63.DOC</v>
      </c>
      <c r="M349" s="2" t="str">
        <f>HYPERLINK("https://docs.wto.org/imrd/directdoc.asp?DDFDocuments/v/G/SPS/NGTM63.DOC")</f>
        <v>https://docs.wto.org/imrd/directdoc.asp?DDFDocuments/v/G/SPS/NGTM63.DOC</v>
      </c>
      <c r="N349" s="2" t="str">
        <f>HYPERLINK("http://www.epingalert.org/#/details/G/SPS/N/GTM/63")</f>
        <v>http://www.epingalert.org/#/details/G/SPS/N/GTM/63</v>
      </c>
      <c r="O349" s="2"/>
    </row>
    <row r="350" spans="1:15" ht="240" customHeight="1" outlineLevel="1" x14ac:dyDescent="0.25">
      <c r="A350" s="2" t="s">
        <v>25</v>
      </c>
      <c r="B350" s="2" t="s">
        <v>2900</v>
      </c>
      <c r="C350" s="2" t="s">
        <v>2901</v>
      </c>
      <c r="D350" s="2" t="s">
        <v>2902</v>
      </c>
      <c r="E350" s="3">
        <v>42513</v>
      </c>
      <c r="F350" s="2" t="s">
        <v>241</v>
      </c>
      <c r="G350" s="2"/>
      <c r="H350" s="2" t="s">
        <v>2425</v>
      </c>
      <c r="I350" s="2" t="s">
        <v>2903</v>
      </c>
      <c r="J350" s="3">
        <v>42573</v>
      </c>
      <c r="K350" s="2" t="str">
        <f>HYPERLINK("https://docs.wto.org/imrd/directdoc.asp?DDFDocuments/t/G/SPS/NKOR536.DOC")</f>
        <v>https://docs.wto.org/imrd/directdoc.asp?DDFDocuments/t/G/SPS/NKOR536.DOC</v>
      </c>
      <c r="L350" s="2" t="str">
        <f>HYPERLINK("https://docs.wto.org/imrd/directdoc.asp?DDFDocuments/u/G/SPS/NKOR536.DOC")</f>
        <v>https://docs.wto.org/imrd/directdoc.asp?DDFDocuments/u/G/SPS/NKOR536.DOC</v>
      </c>
      <c r="M350" s="2" t="str">
        <f>HYPERLINK("https://docs.wto.org/imrd/directdoc.asp?DDFDocuments/v/G/SPS/NKOR536.DOC")</f>
        <v>https://docs.wto.org/imrd/directdoc.asp?DDFDocuments/v/G/SPS/NKOR536.DOC</v>
      </c>
      <c r="N350" s="2" t="str">
        <f>HYPERLINK("http://www.epingalert.org/#/details/G/SPS/N/KOR/536")</f>
        <v>http://www.epingalert.org/#/details/G/SPS/N/KOR/536</v>
      </c>
      <c r="O350" s="2"/>
    </row>
    <row r="351" spans="1:15" ht="240" customHeight="1" outlineLevel="1" x14ac:dyDescent="0.25">
      <c r="A351" s="2" t="s">
        <v>12</v>
      </c>
      <c r="B351" s="2" t="s">
        <v>2904</v>
      </c>
      <c r="C351" s="2" t="s">
        <v>2905</v>
      </c>
      <c r="D351" s="2" t="s">
        <v>2906</v>
      </c>
      <c r="E351" s="3">
        <v>42508</v>
      </c>
      <c r="F351" s="2" t="s">
        <v>2606</v>
      </c>
      <c r="G351" s="2"/>
      <c r="H351" s="2" t="s">
        <v>2425</v>
      </c>
      <c r="I351" s="2" t="s">
        <v>2426</v>
      </c>
      <c r="J351" s="2"/>
      <c r="K351" s="2" t="str">
        <f>HYPERLINK("https://docs.wto.org/imrd/directdoc.asp?DDFDocuments/t/G/SPS/NEU165.DOC")</f>
        <v>https://docs.wto.org/imrd/directdoc.asp?DDFDocuments/t/G/SPS/NEU165.DOC</v>
      </c>
      <c r="L351" s="2" t="str">
        <f>HYPERLINK("https://docs.wto.org/imrd/directdoc.asp?DDFDocuments/u/G/SPS/NEU165.DOC")</f>
        <v>https://docs.wto.org/imrd/directdoc.asp?DDFDocuments/u/G/SPS/NEU165.DOC</v>
      </c>
      <c r="M351" s="2" t="str">
        <f>HYPERLINK("https://docs.wto.org/imrd/directdoc.asp?DDFDocuments/v/G/SPS/NEU165.DOC")</f>
        <v>https://docs.wto.org/imrd/directdoc.asp?DDFDocuments/v/G/SPS/NEU165.DOC</v>
      </c>
      <c r="N351" s="2" t="str">
        <f>HYPERLINK("http://www.epingalert.org/#/details/G/SPS/N/EU/165")</f>
        <v>http://www.epingalert.org/#/details/G/SPS/N/EU/165</v>
      </c>
      <c r="O351" s="2"/>
    </row>
    <row r="352" spans="1:15" ht="240" customHeight="1" outlineLevel="1" x14ac:dyDescent="0.25">
      <c r="A352" s="2" t="s">
        <v>225</v>
      </c>
      <c r="B352" s="2" t="s">
        <v>2908</v>
      </c>
      <c r="C352" s="2" t="s">
        <v>2909</v>
      </c>
      <c r="D352" s="2" t="s">
        <v>2494</v>
      </c>
      <c r="E352" s="3">
        <v>42503</v>
      </c>
      <c r="F352" s="2" t="s">
        <v>2430</v>
      </c>
      <c r="G352" s="2"/>
      <c r="H352" s="2" t="s">
        <v>2425</v>
      </c>
      <c r="I352" s="2" t="s">
        <v>2431</v>
      </c>
      <c r="J352" s="3">
        <v>42569</v>
      </c>
      <c r="K352" s="2" t="str">
        <f>HYPERLINK("https://docs.wto.org/imrd/directdoc.asp?DDFDocuments/t/G/SPS/NAUS387.DOC")</f>
        <v>https://docs.wto.org/imrd/directdoc.asp?DDFDocuments/t/G/SPS/NAUS387.DOC</v>
      </c>
      <c r="L352" s="2" t="str">
        <f>HYPERLINK("https://docs.wto.org/imrd/directdoc.asp?DDFDocuments/u/G/SPS/NAUS387.DOC")</f>
        <v>https://docs.wto.org/imrd/directdoc.asp?DDFDocuments/u/G/SPS/NAUS387.DOC</v>
      </c>
      <c r="M352" s="2" t="str">
        <f>HYPERLINK("https://docs.wto.org/imrd/directdoc.asp?DDFDocuments/v/G/SPS/NAUS387.DOC")</f>
        <v>https://docs.wto.org/imrd/directdoc.asp?DDFDocuments/v/G/SPS/NAUS387.DOC</v>
      </c>
      <c r="N352" s="2" t="str">
        <f>HYPERLINK("http://www.epingalert.org/#/details/G/SPS/N/AUS/387")</f>
        <v>http://www.epingalert.org/#/details/G/SPS/N/AUS/387</v>
      </c>
      <c r="O352" s="2"/>
    </row>
    <row r="353" spans="1:15" ht="240" customHeight="1" outlineLevel="1" x14ac:dyDescent="0.25">
      <c r="A353" s="2" t="s">
        <v>12</v>
      </c>
      <c r="B353" s="2" t="s">
        <v>2907</v>
      </c>
      <c r="C353" s="2"/>
      <c r="D353" s="2"/>
      <c r="E353" s="3">
        <v>42503</v>
      </c>
      <c r="F353" s="2" t="s">
        <v>2606</v>
      </c>
      <c r="G353" s="2"/>
      <c r="H353" s="2" t="s">
        <v>2425</v>
      </c>
      <c r="I353" s="2" t="s">
        <v>2444</v>
      </c>
      <c r="J353" s="2"/>
      <c r="K353" s="2" t="str">
        <f>HYPERLINK("https://docs.wto.org/imrd/directdoc.asp?DDFDocuments/t/G/SPS/NEU156A1.DOC")</f>
        <v>https://docs.wto.org/imrd/directdoc.asp?DDFDocuments/t/G/SPS/NEU156A1.DOC</v>
      </c>
      <c r="L353" s="2" t="str">
        <f>HYPERLINK("https://docs.wto.org/imrd/directdoc.asp?DDFDocuments/u/G/SPS/NEU156A1.DOC")</f>
        <v>https://docs.wto.org/imrd/directdoc.asp?DDFDocuments/u/G/SPS/NEU156A1.DOC</v>
      </c>
      <c r="M353" s="2" t="str">
        <f>HYPERLINK("https://docs.wto.org/imrd/directdoc.asp?DDFDocuments/v/G/SPS/NEU156A1.DOC")</f>
        <v>https://docs.wto.org/imrd/directdoc.asp?DDFDocuments/v/G/SPS/NEU156A1.DOC</v>
      </c>
      <c r="N353" s="2" t="str">
        <f>HYPERLINK("http://www.epingalert.org/#/details/G/SPS/N/EU/156/Add.1")</f>
        <v>http://www.epingalert.org/#/details/G/SPS/N/EU/156/Add.1</v>
      </c>
      <c r="O353" s="2"/>
    </row>
    <row r="354" spans="1:15" ht="240" customHeight="1" outlineLevel="1" x14ac:dyDescent="0.25">
      <c r="A354" s="2" t="s">
        <v>121</v>
      </c>
      <c r="B354" s="2" t="s">
        <v>2910</v>
      </c>
      <c r="C354" s="2" t="s">
        <v>2553</v>
      </c>
      <c r="D354" s="2" t="s">
        <v>2911</v>
      </c>
      <c r="E354" s="3">
        <v>42502</v>
      </c>
      <c r="F354" s="2" t="s">
        <v>2555</v>
      </c>
      <c r="G354" s="2" t="s">
        <v>2912</v>
      </c>
      <c r="H354" s="2" t="s">
        <v>2425</v>
      </c>
      <c r="I354" s="2" t="s">
        <v>2461</v>
      </c>
      <c r="J354" s="3">
        <v>42562</v>
      </c>
      <c r="K354" s="2" t="str">
        <f>HYPERLINK("https://docs.wto.org/imrd/directdoc.asp?DDFDocuments/t/G/SPS/NIND146.DOC")</f>
        <v>https://docs.wto.org/imrd/directdoc.asp?DDFDocuments/t/G/SPS/NIND146.DOC</v>
      </c>
      <c r="L354" s="2" t="str">
        <f>HYPERLINK("https://docs.wto.org/imrd/directdoc.asp?DDFDocuments/u/G/SPS/NIND146.DOC")</f>
        <v>https://docs.wto.org/imrd/directdoc.asp?DDFDocuments/u/G/SPS/NIND146.DOC</v>
      </c>
      <c r="M354" s="2" t="str">
        <f>HYPERLINK("https://docs.wto.org/imrd/directdoc.asp?DDFDocuments/v/G/SPS/NIND146.DOC")</f>
        <v>https://docs.wto.org/imrd/directdoc.asp?DDFDocuments/v/G/SPS/NIND146.DOC</v>
      </c>
      <c r="N354" s="2" t="str">
        <f>HYPERLINK("http://www.epingalert.org/#/details/G/SPS/N/IND/146")</f>
        <v>http://www.epingalert.org/#/details/G/SPS/N/IND/146</v>
      </c>
      <c r="O354" s="2"/>
    </row>
    <row r="355" spans="1:15" ht="240" customHeight="1" outlineLevel="1" x14ac:dyDescent="0.25">
      <c r="A355" s="2" t="s">
        <v>646</v>
      </c>
      <c r="B355" s="2" t="s">
        <v>7035</v>
      </c>
      <c r="C355" s="2" t="s">
        <v>7036</v>
      </c>
      <c r="D355" s="2" t="s">
        <v>7037</v>
      </c>
      <c r="E355" s="3">
        <v>42501</v>
      </c>
      <c r="F355" s="2" t="s">
        <v>7038</v>
      </c>
      <c r="G355" s="2" t="s">
        <v>2039</v>
      </c>
      <c r="H355" s="2" t="s">
        <v>2654</v>
      </c>
      <c r="I355" s="2" t="s">
        <v>7039</v>
      </c>
      <c r="J355" s="3">
        <v>42546</v>
      </c>
      <c r="K355" s="2" t="str">
        <f>HYPERLINK("https://docs.wto.org/imrd/directdoc.asp?DDFDocuments/t/G/SPS/NVNM78.DOC")</f>
        <v>https://docs.wto.org/imrd/directdoc.asp?DDFDocuments/t/G/SPS/NVNM78.DOC</v>
      </c>
      <c r="L355" s="2" t="str">
        <f>HYPERLINK("https://docs.wto.org/imrd/directdoc.asp?DDFDocuments/u/G/SPS/NVNM78.DOC")</f>
        <v>https://docs.wto.org/imrd/directdoc.asp?DDFDocuments/u/G/SPS/NVNM78.DOC</v>
      </c>
      <c r="M355" s="2" t="str">
        <f>HYPERLINK("https://docs.wto.org/imrd/directdoc.asp?DDFDocuments/v/G/SPS/NVNM78.DOC")</f>
        <v>https://docs.wto.org/imrd/directdoc.asp?DDFDocuments/v/G/SPS/NVNM78.DOC</v>
      </c>
      <c r="N355" s="2" t="str">
        <f>HYPERLINK("http://www.epingalert.org/#/details/G/SPS/N/VNM/78")</f>
        <v>http://www.epingalert.org/#/details/G/SPS/N/VNM/78</v>
      </c>
      <c r="O355" s="2"/>
    </row>
    <row r="356" spans="1:15" ht="240" customHeight="1" outlineLevel="1" x14ac:dyDescent="0.25">
      <c r="A356" s="2" t="s">
        <v>1042</v>
      </c>
      <c r="B356" s="2" t="s">
        <v>7032</v>
      </c>
      <c r="C356" s="2"/>
      <c r="D356" s="2"/>
      <c r="E356" s="3">
        <v>42501</v>
      </c>
      <c r="F356" s="2" t="s">
        <v>7005</v>
      </c>
      <c r="G356" s="2" t="s">
        <v>7033</v>
      </c>
      <c r="H356" s="2" t="s">
        <v>2467</v>
      </c>
      <c r="I356" s="2" t="s">
        <v>7034</v>
      </c>
      <c r="J356" s="2"/>
      <c r="K356" s="2" t="str">
        <f>HYPERLINK("https://docs.wto.org/imrd/directdoc.asp?DDFDocuments/t/G/SPS/NPHL318A1.DOC")</f>
        <v>https://docs.wto.org/imrd/directdoc.asp?DDFDocuments/t/G/SPS/NPHL318A1.DOC</v>
      </c>
      <c r="L356" s="2" t="str">
        <f>HYPERLINK("https://docs.wto.org/imrd/directdoc.asp?DDFDocuments/u/G/SPS/NPHL318A1.DOC")</f>
        <v>https://docs.wto.org/imrd/directdoc.asp?DDFDocuments/u/G/SPS/NPHL318A1.DOC</v>
      </c>
      <c r="M356" s="2" t="str">
        <f>HYPERLINK("https://docs.wto.org/imrd/directdoc.asp?DDFDocuments/v/G/SPS/NPHL318A1.DOC")</f>
        <v>https://docs.wto.org/imrd/directdoc.asp?DDFDocuments/v/G/SPS/NPHL318A1.DOC</v>
      </c>
      <c r="N356" s="2" t="str">
        <f>HYPERLINK("http://www.epingalert.org/#/details/G/SPS/N/PHL/318/Add.1")</f>
        <v>http://www.epingalert.org/#/details/G/SPS/N/PHL/318/Add.1</v>
      </c>
      <c r="O356" s="2"/>
    </row>
    <row r="357" spans="1:15" ht="240" customHeight="1" outlineLevel="1" x14ac:dyDescent="0.25">
      <c r="A357" s="2" t="s">
        <v>115</v>
      </c>
      <c r="B357" s="2" t="s">
        <v>7040</v>
      </c>
      <c r="C357" s="2" t="s">
        <v>6754</v>
      </c>
      <c r="D357" s="2" t="s">
        <v>7041</v>
      </c>
      <c r="E357" s="3">
        <v>42500</v>
      </c>
      <c r="F357" s="2" t="s">
        <v>7042</v>
      </c>
      <c r="G357" s="2" t="s">
        <v>7043</v>
      </c>
      <c r="H357" s="2" t="s">
        <v>2425</v>
      </c>
      <c r="I357" s="2" t="s">
        <v>2453</v>
      </c>
      <c r="J357" s="3">
        <v>42560</v>
      </c>
      <c r="K357" s="2" t="str">
        <f>HYPERLINK("https://docs.wto.org/imrd/directdoc.asp?DDFDocuments/t/G/SPS/NJPN459.DOC")</f>
        <v>https://docs.wto.org/imrd/directdoc.asp?DDFDocuments/t/G/SPS/NJPN459.DOC</v>
      </c>
      <c r="L357" s="2" t="str">
        <f>HYPERLINK("https://docs.wto.org/imrd/directdoc.asp?DDFDocuments/u/G/SPS/NJPN459.DOC")</f>
        <v>https://docs.wto.org/imrd/directdoc.asp?DDFDocuments/u/G/SPS/NJPN459.DOC</v>
      </c>
      <c r="M357" s="2" t="str">
        <f>HYPERLINK("https://docs.wto.org/imrd/directdoc.asp?DDFDocuments/v/G/SPS/NJPN459.DOC")</f>
        <v>https://docs.wto.org/imrd/directdoc.asp?DDFDocuments/v/G/SPS/NJPN459.DOC</v>
      </c>
      <c r="N357" s="2" t="str">
        <f>HYPERLINK("http://www.epingalert.org/#/details/G/SPS/N/JPN/459")</f>
        <v>http://www.epingalert.org/#/details/G/SPS/N/JPN/459</v>
      </c>
      <c r="O357" s="2"/>
    </row>
    <row r="358" spans="1:15" ht="240" customHeight="1" outlineLevel="1" x14ac:dyDescent="0.25">
      <c r="A358" s="2" t="s">
        <v>115</v>
      </c>
      <c r="B358" s="2" t="s">
        <v>7044</v>
      </c>
      <c r="C358" s="2" t="s">
        <v>6754</v>
      </c>
      <c r="D358" s="2" t="s">
        <v>7045</v>
      </c>
      <c r="E358" s="3">
        <v>42500</v>
      </c>
      <c r="F358" s="2" t="s">
        <v>7046</v>
      </c>
      <c r="G358" s="2" t="s">
        <v>7047</v>
      </c>
      <c r="H358" s="2" t="s">
        <v>2425</v>
      </c>
      <c r="I358" s="2" t="s">
        <v>2453</v>
      </c>
      <c r="J358" s="3">
        <v>42560</v>
      </c>
      <c r="K358" s="2" t="str">
        <f>HYPERLINK("https://docs.wto.org/imrd/directdoc.asp?DDFDocuments/t/G/SPS/NJPN458.DOC")</f>
        <v>https://docs.wto.org/imrd/directdoc.asp?DDFDocuments/t/G/SPS/NJPN458.DOC</v>
      </c>
      <c r="L358" s="2" t="str">
        <f>HYPERLINK("https://docs.wto.org/imrd/directdoc.asp?DDFDocuments/u/G/SPS/NJPN458.DOC")</f>
        <v>https://docs.wto.org/imrd/directdoc.asp?DDFDocuments/u/G/SPS/NJPN458.DOC</v>
      </c>
      <c r="M358" s="2" t="str">
        <f>HYPERLINK("https://docs.wto.org/imrd/directdoc.asp?DDFDocuments/v/G/SPS/NJPN458.DOC")</f>
        <v>https://docs.wto.org/imrd/directdoc.asp?DDFDocuments/v/G/SPS/NJPN458.DOC</v>
      </c>
      <c r="N358" s="2" t="str">
        <f>HYPERLINK("http://www.epingalert.org/#/details/G/SPS/N/JPN/458")</f>
        <v>http://www.epingalert.org/#/details/G/SPS/N/JPN/458</v>
      </c>
      <c r="O358" s="2"/>
    </row>
    <row r="359" spans="1:15" ht="240" customHeight="1" outlineLevel="1" x14ac:dyDescent="0.25">
      <c r="A359" s="2" t="s">
        <v>115</v>
      </c>
      <c r="B359" s="2" t="s">
        <v>7048</v>
      </c>
      <c r="C359" s="2" t="s">
        <v>6754</v>
      </c>
      <c r="D359" s="2" t="s">
        <v>7049</v>
      </c>
      <c r="E359" s="3">
        <v>42500</v>
      </c>
      <c r="F359" s="2" t="s">
        <v>7050</v>
      </c>
      <c r="G359" s="2" t="s">
        <v>7051</v>
      </c>
      <c r="H359" s="2" t="s">
        <v>2425</v>
      </c>
      <c r="I359" s="2" t="s">
        <v>2499</v>
      </c>
      <c r="J359" s="3">
        <v>42560</v>
      </c>
      <c r="K359" s="2" t="str">
        <f>HYPERLINK("https://docs.wto.org/imrd/directdoc.asp?DDFDocuments/t/G/SPS/NJPN462.DOC")</f>
        <v>https://docs.wto.org/imrd/directdoc.asp?DDFDocuments/t/G/SPS/NJPN462.DOC</v>
      </c>
      <c r="L359" s="2" t="str">
        <f>HYPERLINK("https://docs.wto.org/imrd/directdoc.asp?DDFDocuments/u/G/SPS/NJPN462.DOC")</f>
        <v>https://docs.wto.org/imrd/directdoc.asp?DDFDocuments/u/G/SPS/NJPN462.DOC</v>
      </c>
      <c r="M359" s="2" t="str">
        <f>HYPERLINK("https://docs.wto.org/imrd/directdoc.asp?DDFDocuments/v/G/SPS/NJPN462.DOC")</f>
        <v>https://docs.wto.org/imrd/directdoc.asp?DDFDocuments/v/G/SPS/NJPN462.DOC</v>
      </c>
      <c r="N359" s="2" t="str">
        <f>HYPERLINK("http://www.epingalert.org/#/details/G/SPS/N/JPN/462")</f>
        <v>http://www.epingalert.org/#/details/G/SPS/N/JPN/462</v>
      </c>
      <c r="O359" s="2"/>
    </row>
    <row r="360" spans="1:15" ht="240" customHeight="1" outlineLevel="1" x14ac:dyDescent="0.25">
      <c r="A360" s="2" t="s">
        <v>115</v>
      </c>
      <c r="B360" s="2" t="s">
        <v>7052</v>
      </c>
      <c r="C360" s="2" t="s">
        <v>6754</v>
      </c>
      <c r="D360" s="2" t="s">
        <v>7053</v>
      </c>
      <c r="E360" s="3">
        <v>42500</v>
      </c>
      <c r="F360" s="2" t="s">
        <v>7054</v>
      </c>
      <c r="G360" s="2" t="s">
        <v>7055</v>
      </c>
      <c r="H360" s="2" t="s">
        <v>2425</v>
      </c>
      <c r="I360" s="2" t="s">
        <v>2453</v>
      </c>
      <c r="J360" s="3">
        <v>42560</v>
      </c>
      <c r="K360" s="2" t="str">
        <f>HYPERLINK("https://docs.wto.org/imrd/directdoc.asp?DDFDocuments/t/G/SPS/NJPN461.DOC")</f>
        <v>https://docs.wto.org/imrd/directdoc.asp?DDFDocuments/t/G/SPS/NJPN461.DOC</v>
      </c>
      <c r="L360" s="2" t="str">
        <f>HYPERLINK("https://docs.wto.org/imrd/directdoc.asp?DDFDocuments/u/G/SPS/NJPN461.DOC")</f>
        <v>https://docs.wto.org/imrd/directdoc.asp?DDFDocuments/u/G/SPS/NJPN461.DOC</v>
      </c>
      <c r="M360" s="2" t="str">
        <f>HYPERLINK("https://docs.wto.org/imrd/directdoc.asp?DDFDocuments/v/G/SPS/NJPN461.DOC")</f>
        <v>https://docs.wto.org/imrd/directdoc.asp?DDFDocuments/v/G/SPS/NJPN461.DOC</v>
      </c>
      <c r="N360" s="2" t="str">
        <f>HYPERLINK("http://www.epingalert.org/#/details/G/SPS/N/JPN/461")</f>
        <v>http://www.epingalert.org/#/details/G/SPS/N/JPN/461</v>
      </c>
      <c r="O360" s="2"/>
    </row>
    <row r="361" spans="1:15" ht="240" customHeight="1" outlineLevel="1" x14ac:dyDescent="0.25">
      <c r="A361" s="2" t="s">
        <v>115</v>
      </c>
      <c r="B361" s="2" t="s">
        <v>7056</v>
      </c>
      <c r="C361" s="2" t="s">
        <v>6754</v>
      </c>
      <c r="D361" s="2" t="s">
        <v>7057</v>
      </c>
      <c r="E361" s="3">
        <v>42500</v>
      </c>
      <c r="F361" s="2" t="s">
        <v>7058</v>
      </c>
      <c r="G361" s="2" t="s">
        <v>7059</v>
      </c>
      <c r="H361" s="2" t="s">
        <v>2425</v>
      </c>
      <c r="I361" s="2" t="s">
        <v>2453</v>
      </c>
      <c r="J361" s="3">
        <v>42560</v>
      </c>
      <c r="K361" s="2" t="str">
        <f>HYPERLINK("https://docs.wto.org/imrd/directdoc.asp?DDFDocuments/t/G/SPS/NJPN457.DOC")</f>
        <v>https://docs.wto.org/imrd/directdoc.asp?DDFDocuments/t/G/SPS/NJPN457.DOC</v>
      </c>
      <c r="L361" s="2" t="str">
        <f>HYPERLINK("https://docs.wto.org/imrd/directdoc.asp?DDFDocuments/u/G/SPS/NJPN457.DOC")</f>
        <v>https://docs.wto.org/imrd/directdoc.asp?DDFDocuments/u/G/SPS/NJPN457.DOC</v>
      </c>
      <c r="M361" s="2" t="str">
        <f>HYPERLINK("https://docs.wto.org/imrd/directdoc.asp?DDFDocuments/v/G/SPS/NJPN457.DOC")</f>
        <v>https://docs.wto.org/imrd/directdoc.asp?DDFDocuments/v/G/SPS/NJPN457.DOC</v>
      </c>
      <c r="N361" s="2" t="str">
        <f>HYPERLINK("http://www.epingalert.org/#/details/G/SPS/N/JPN/457")</f>
        <v>http://www.epingalert.org/#/details/G/SPS/N/JPN/457</v>
      </c>
      <c r="O361" s="2"/>
    </row>
    <row r="362" spans="1:15" ht="240" customHeight="1" outlineLevel="1" x14ac:dyDescent="0.25">
      <c r="A362" s="2" t="s">
        <v>115</v>
      </c>
      <c r="B362" s="2" t="s">
        <v>7060</v>
      </c>
      <c r="C362" s="2" t="s">
        <v>6754</v>
      </c>
      <c r="D362" s="2" t="s">
        <v>7061</v>
      </c>
      <c r="E362" s="3">
        <v>42500</v>
      </c>
      <c r="F362" s="2" t="s">
        <v>7054</v>
      </c>
      <c r="G362" s="2" t="s">
        <v>7062</v>
      </c>
      <c r="H362" s="2" t="s">
        <v>2425</v>
      </c>
      <c r="I362" s="2" t="s">
        <v>2453</v>
      </c>
      <c r="J362" s="3">
        <v>42560</v>
      </c>
      <c r="K362" s="2" t="str">
        <f>HYPERLINK("https://docs.wto.org/imrd/directdoc.asp?DDFDocuments/t/G/SPS/NJPN460.DOC")</f>
        <v>https://docs.wto.org/imrd/directdoc.asp?DDFDocuments/t/G/SPS/NJPN460.DOC</v>
      </c>
      <c r="L362" s="2" t="str">
        <f>HYPERLINK("https://docs.wto.org/imrd/directdoc.asp?DDFDocuments/u/G/SPS/NJPN460.DOC")</f>
        <v>https://docs.wto.org/imrd/directdoc.asp?DDFDocuments/u/G/SPS/NJPN460.DOC</v>
      </c>
      <c r="M362" s="2" t="str">
        <f>HYPERLINK("https://docs.wto.org/imrd/directdoc.asp?DDFDocuments/v/G/SPS/NJPN460.DOC")</f>
        <v>https://docs.wto.org/imrd/directdoc.asp?DDFDocuments/v/G/SPS/NJPN460.DOC</v>
      </c>
      <c r="N362" s="2" t="str">
        <f>HYPERLINK("http://www.epingalert.org/#/details/G/SPS/N/JPN/460")</f>
        <v>http://www.epingalert.org/#/details/G/SPS/N/JPN/460</v>
      </c>
      <c r="O362" s="2"/>
    </row>
    <row r="363" spans="1:15" ht="240" customHeight="1" outlineLevel="1" x14ac:dyDescent="0.25">
      <c r="A363" s="2" t="s">
        <v>77</v>
      </c>
      <c r="B363" s="2" t="s">
        <v>2913</v>
      </c>
      <c r="C363" s="2" t="s">
        <v>2914</v>
      </c>
      <c r="D363" s="2" t="s">
        <v>2915</v>
      </c>
      <c r="E363" s="3">
        <v>42499</v>
      </c>
      <c r="F363" s="2" t="s">
        <v>2435</v>
      </c>
      <c r="G363" s="2"/>
      <c r="H363" s="2" t="s">
        <v>2425</v>
      </c>
      <c r="I363" s="2" t="s">
        <v>2426</v>
      </c>
      <c r="J363" s="3">
        <v>42559</v>
      </c>
      <c r="K363" s="2" t="str">
        <f>HYPERLINK("https://docs.wto.org/imrd/directdoc.asp?DDFDocuments/t/G/SPS/NTPKM397.DOC")</f>
        <v>https://docs.wto.org/imrd/directdoc.asp?DDFDocuments/t/G/SPS/NTPKM397.DOC</v>
      </c>
      <c r="L363" s="2" t="str">
        <f>HYPERLINK("https://docs.wto.org/imrd/directdoc.asp?DDFDocuments/u/G/SPS/NTPKM397.DOC")</f>
        <v>https://docs.wto.org/imrd/directdoc.asp?DDFDocuments/u/G/SPS/NTPKM397.DOC</v>
      </c>
      <c r="M363" s="2" t="str">
        <f>HYPERLINK("https://docs.wto.org/imrd/directdoc.asp?DDFDocuments/v/G/SPS/NTPKM397.DOC")</f>
        <v>https://docs.wto.org/imrd/directdoc.asp?DDFDocuments/v/G/SPS/NTPKM397.DOC</v>
      </c>
      <c r="N363" s="2" t="str">
        <f>HYPERLINK("http://www.epingalert.org/#/details/G/SPS/N/TPKM/397")</f>
        <v>http://www.epingalert.org/#/details/G/SPS/N/TPKM/397</v>
      </c>
      <c r="O363" s="2"/>
    </row>
    <row r="364" spans="1:15" ht="240" customHeight="1" outlineLevel="1" x14ac:dyDescent="0.25">
      <c r="A364" s="2" t="s">
        <v>18</v>
      </c>
      <c r="B364" s="2" t="s">
        <v>7063</v>
      </c>
      <c r="C364" s="2" t="s">
        <v>7064</v>
      </c>
      <c r="D364" s="2" t="s">
        <v>7065</v>
      </c>
      <c r="E364" s="3">
        <v>42499</v>
      </c>
      <c r="F364" s="2" t="s">
        <v>7066</v>
      </c>
      <c r="G364" s="2" t="s">
        <v>6736</v>
      </c>
      <c r="H364" s="2" t="s">
        <v>2425</v>
      </c>
      <c r="I364" s="2" t="s">
        <v>2461</v>
      </c>
      <c r="J364" s="3">
        <v>42541</v>
      </c>
      <c r="K364" s="2" t="str">
        <f>HYPERLINK("https://docs.wto.org/imrd/directdoc.asp?DDFDocuments/t/G/SPS/NUSA2856.DOC")</f>
        <v>https://docs.wto.org/imrd/directdoc.asp?DDFDocuments/t/G/SPS/NUSA2856.DOC</v>
      </c>
      <c r="L364" s="2" t="str">
        <f>HYPERLINK("https://docs.wto.org/imrd/directdoc.asp?DDFDocuments/u/G/SPS/NUSA2856.DOC")</f>
        <v>https://docs.wto.org/imrd/directdoc.asp?DDFDocuments/u/G/SPS/NUSA2856.DOC</v>
      </c>
      <c r="M364" s="2" t="str">
        <f>HYPERLINK("https://docs.wto.org/imrd/directdoc.asp?DDFDocuments/v/G/SPS/NUSA2856.DOC")</f>
        <v>https://docs.wto.org/imrd/directdoc.asp?DDFDocuments/v/G/SPS/NUSA2856.DOC</v>
      </c>
      <c r="N364" s="2" t="str">
        <f>HYPERLINK("http://www.epingalert.org/#/details/G/SPS/N/USA/2856")</f>
        <v>http://www.epingalert.org/#/details/G/SPS/N/USA/2856</v>
      </c>
      <c r="O364" s="2"/>
    </row>
    <row r="365" spans="1:15" ht="240" customHeight="1" outlineLevel="1" x14ac:dyDescent="0.25">
      <c r="A365" s="2" t="s">
        <v>225</v>
      </c>
      <c r="B365" s="2" t="s">
        <v>7067</v>
      </c>
      <c r="C365" s="2" t="s">
        <v>7068</v>
      </c>
      <c r="D365" s="2" t="s">
        <v>7069</v>
      </c>
      <c r="E365" s="3">
        <v>42499</v>
      </c>
      <c r="F365" s="2" t="s">
        <v>7070</v>
      </c>
      <c r="G365" s="2" t="s">
        <v>2248</v>
      </c>
      <c r="H365" s="2" t="s">
        <v>2425</v>
      </c>
      <c r="I365" s="2" t="s">
        <v>7026</v>
      </c>
      <c r="J365" s="2"/>
      <c r="K365" s="2" t="str">
        <f>HYPERLINK("https://docs.wto.org/imrd/directdoc.asp?DDFDocuments/t/G/SPS/NAUS386.DOC")</f>
        <v>https://docs.wto.org/imrd/directdoc.asp?DDFDocuments/t/G/SPS/NAUS386.DOC</v>
      </c>
      <c r="L365" s="2" t="str">
        <f>HYPERLINK("https://docs.wto.org/imrd/directdoc.asp?DDFDocuments/u/G/SPS/NAUS386.DOC")</f>
        <v>https://docs.wto.org/imrd/directdoc.asp?DDFDocuments/u/G/SPS/NAUS386.DOC</v>
      </c>
      <c r="M365" s="2" t="str">
        <f>HYPERLINK("https://docs.wto.org/imrd/directdoc.asp?DDFDocuments/v/G/SPS/NAUS386.DOC")</f>
        <v>https://docs.wto.org/imrd/directdoc.asp?DDFDocuments/v/G/SPS/NAUS386.DOC</v>
      </c>
      <c r="N365" s="2" t="str">
        <f>HYPERLINK("http://www.epingalert.org/#/details/G/SPS/N/AUS/386")</f>
        <v>http://www.epingalert.org/#/details/G/SPS/N/AUS/386</v>
      </c>
      <c r="O365" s="2"/>
    </row>
    <row r="366" spans="1:15" ht="240" customHeight="1" outlineLevel="1" x14ac:dyDescent="0.25">
      <c r="A366" s="2" t="s">
        <v>154</v>
      </c>
      <c r="B366" s="2" t="s">
        <v>2916</v>
      </c>
      <c r="C366" s="2" t="s">
        <v>2917</v>
      </c>
      <c r="D366" s="2" t="s">
        <v>2918</v>
      </c>
      <c r="E366" s="3">
        <v>42493</v>
      </c>
      <c r="F366" s="2" t="s">
        <v>2919</v>
      </c>
      <c r="G366" s="2" t="s">
        <v>2920</v>
      </c>
      <c r="H366" s="2" t="s">
        <v>2425</v>
      </c>
      <c r="I366" s="2" t="s">
        <v>2461</v>
      </c>
      <c r="J366" s="2"/>
      <c r="K366" s="2" t="str">
        <f>HYPERLINK("https://docs.wto.org/imrd/directdoc.asp?DDFDocuments/t/G/SPS/NIDN109.DOC")</f>
        <v>https://docs.wto.org/imrd/directdoc.asp?DDFDocuments/t/G/SPS/NIDN109.DOC</v>
      </c>
      <c r="L366" s="2" t="str">
        <f>HYPERLINK("https://docs.wto.org/imrd/directdoc.asp?DDFDocuments/u/G/SPS/NIDN109.DOC")</f>
        <v>https://docs.wto.org/imrd/directdoc.asp?DDFDocuments/u/G/SPS/NIDN109.DOC</v>
      </c>
      <c r="M366" s="2" t="str">
        <f>HYPERLINK("https://docs.wto.org/imrd/directdoc.asp?DDFDocuments/v/G/SPS/NIDN109.DOC")</f>
        <v>https://docs.wto.org/imrd/directdoc.asp?DDFDocuments/v/G/SPS/NIDN109.DOC</v>
      </c>
      <c r="N366" s="2" t="str">
        <f>HYPERLINK("http://www.epingalert.org/#/details/G/SPS/N/IDN/109")</f>
        <v>http://www.epingalert.org/#/details/G/SPS/N/IDN/109</v>
      </c>
      <c r="O366" s="2"/>
    </row>
    <row r="367" spans="1:15" ht="240" customHeight="1" outlineLevel="1" x14ac:dyDescent="0.25">
      <c r="A367" s="2" t="s">
        <v>25</v>
      </c>
      <c r="B367" s="2" t="s">
        <v>2924</v>
      </c>
      <c r="C367" s="2" t="s">
        <v>2925</v>
      </c>
      <c r="D367" s="2" t="s">
        <v>2926</v>
      </c>
      <c r="E367" s="3">
        <v>42492</v>
      </c>
      <c r="F367" s="2" t="s">
        <v>299</v>
      </c>
      <c r="G367" s="2"/>
      <c r="H367" s="2" t="s">
        <v>2425</v>
      </c>
      <c r="I367" s="2" t="s">
        <v>2558</v>
      </c>
      <c r="J367" s="3">
        <v>42552</v>
      </c>
      <c r="K367" s="2" t="str">
        <f>HYPERLINK("https://docs.wto.org/imrd/directdoc.asp?DDFDocuments/t/G/SPS/NKOR534.DOC")</f>
        <v>https://docs.wto.org/imrd/directdoc.asp?DDFDocuments/t/G/SPS/NKOR534.DOC</v>
      </c>
      <c r="L367" s="2" t="str">
        <f>HYPERLINK("https://docs.wto.org/imrd/directdoc.asp?DDFDocuments/u/G/SPS/NKOR534.DOC")</f>
        <v>https://docs.wto.org/imrd/directdoc.asp?DDFDocuments/u/G/SPS/NKOR534.DOC</v>
      </c>
      <c r="M367" s="2" t="str">
        <f>HYPERLINK("https://docs.wto.org/imrd/directdoc.asp?DDFDocuments/v/G/SPS/NKOR534.DOC")</f>
        <v>https://docs.wto.org/imrd/directdoc.asp?DDFDocuments/v/G/SPS/NKOR534.DOC</v>
      </c>
      <c r="N367" s="2" t="str">
        <f>HYPERLINK("http://www.epingalert.org/#/details/G/SPS/N/KOR/534")</f>
        <v>http://www.epingalert.org/#/details/G/SPS/N/KOR/534</v>
      </c>
      <c r="O367" s="2"/>
    </row>
    <row r="368" spans="1:15" ht="240" customHeight="1" outlineLevel="1" x14ac:dyDescent="0.25">
      <c r="A368" s="2" t="s">
        <v>12</v>
      </c>
      <c r="B368" s="2" t="s">
        <v>2921</v>
      </c>
      <c r="C368" s="2"/>
      <c r="D368" s="2"/>
      <c r="E368" s="3">
        <v>42492</v>
      </c>
      <c r="F368" s="2" t="s">
        <v>2922</v>
      </c>
      <c r="G368" s="2" t="s">
        <v>2923</v>
      </c>
      <c r="H368" s="2" t="s">
        <v>2425</v>
      </c>
      <c r="I368" s="2" t="s">
        <v>2444</v>
      </c>
      <c r="J368" s="2"/>
      <c r="K368" s="2" t="str">
        <f>HYPERLINK("https://docs.wto.org/imrd/directdoc.asp?DDFDocuments/t/G/SPS/NEU120A1.DOC")</f>
        <v>https://docs.wto.org/imrd/directdoc.asp?DDFDocuments/t/G/SPS/NEU120A1.DOC</v>
      </c>
      <c r="L368" s="2" t="str">
        <f>HYPERLINK("https://docs.wto.org/imrd/directdoc.asp?DDFDocuments/u/G/SPS/NEU120A1.DOC")</f>
        <v>https://docs.wto.org/imrd/directdoc.asp?DDFDocuments/u/G/SPS/NEU120A1.DOC</v>
      </c>
      <c r="M368" s="2" t="str">
        <f>HYPERLINK("https://docs.wto.org/imrd/directdoc.asp?DDFDocuments/v/G/SPS/NEU120A1.DOC")</f>
        <v>https://docs.wto.org/imrd/directdoc.asp?DDFDocuments/v/G/SPS/NEU120A1.DOC</v>
      </c>
      <c r="N368" s="2" t="str">
        <f>HYPERLINK("http://www.epingalert.org/#/details/G/SPS/N/EU/120/Add.1")</f>
        <v>http://www.epingalert.org/#/details/G/SPS/N/EU/120/Add.1</v>
      </c>
      <c r="O368" s="2"/>
    </row>
    <row r="369" spans="1:15" ht="240" customHeight="1" outlineLevel="1" x14ac:dyDescent="0.25">
      <c r="A369" s="2" t="s">
        <v>31</v>
      </c>
      <c r="B369" s="2" t="s">
        <v>7071</v>
      </c>
      <c r="C369" s="2"/>
      <c r="D369" s="2"/>
      <c r="E369" s="3">
        <v>42492</v>
      </c>
      <c r="F369" s="2" t="s">
        <v>7072</v>
      </c>
      <c r="G369" s="2" t="s">
        <v>7073</v>
      </c>
      <c r="H369" s="2" t="s">
        <v>2425</v>
      </c>
      <c r="I369" s="2" t="s">
        <v>2444</v>
      </c>
      <c r="J369" s="2"/>
      <c r="K369" s="2" t="str">
        <f>HYPERLINK("https://docs.wto.org/imrd/directdoc.asp?DDFDocuments/t/G/SPS/NTHA232A1.DOC")</f>
        <v>https://docs.wto.org/imrd/directdoc.asp?DDFDocuments/t/G/SPS/NTHA232A1.DOC</v>
      </c>
      <c r="L369" s="2" t="str">
        <f>HYPERLINK("https://docs.wto.org/imrd/directdoc.asp?DDFDocuments/u/G/SPS/NTHA232A1.DOC")</f>
        <v>https://docs.wto.org/imrd/directdoc.asp?DDFDocuments/u/G/SPS/NTHA232A1.DOC</v>
      </c>
      <c r="M369" s="2" t="str">
        <f>HYPERLINK("https://docs.wto.org/imrd/directdoc.asp?DDFDocuments/v/G/SPS/NTHA232A1.DOC")</f>
        <v>https://docs.wto.org/imrd/directdoc.asp?DDFDocuments/v/G/SPS/NTHA232A1.DOC</v>
      </c>
      <c r="N369" s="2" t="str">
        <f>HYPERLINK("http://www.epingalert.org/#/details/G/SPS/N/THA/232/Add.1")</f>
        <v>http://www.epingalert.org/#/details/G/SPS/N/THA/232/Add.1</v>
      </c>
      <c r="O369" s="2"/>
    </row>
    <row r="370" spans="1:15" ht="240" customHeight="1" outlineLevel="1" x14ac:dyDescent="0.25">
      <c r="A370" s="2" t="s">
        <v>2930</v>
      </c>
      <c r="B370" s="2" t="s">
        <v>2931</v>
      </c>
      <c r="C370" s="2"/>
      <c r="D370" s="2"/>
      <c r="E370" s="3">
        <v>42489</v>
      </c>
      <c r="F370" s="2" t="s">
        <v>2932</v>
      </c>
      <c r="G370" s="2"/>
      <c r="H370" s="2" t="s">
        <v>2425</v>
      </c>
      <c r="I370" s="2" t="s">
        <v>2491</v>
      </c>
      <c r="J370" s="3">
        <v>42549</v>
      </c>
      <c r="K370" s="2" t="str">
        <f>HYPERLINK("https://docs.wto.org/imrd/directdoc.asp?DDFDocuments/t/G/SPS/NLKA20A1.DOC")</f>
        <v>https://docs.wto.org/imrd/directdoc.asp?DDFDocuments/t/G/SPS/NLKA20A1.DOC</v>
      </c>
      <c r="L370" s="2" t="str">
        <f>HYPERLINK("https://docs.wto.org/imrd/directdoc.asp?DDFDocuments/u/G/SPS/NLKA20A1.DOC")</f>
        <v>https://docs.wto.org/imrd/directdoc.asp?DDFDocuments/u/G/SPS/NLKA20A1.DOC</v>
      </c>
      <c r="M370" s="2" t="str">
        <f>HYPERLINK("https://docs.wto.org/imrd/directdoc.asp?DDFDocuments/v/G/SPS/NLKA20A1.DOC")</f>
        <v>https://docs.wto.org/imrd/directdoc.asp?DDFDocuments/v/G/SPS/NLKA20A1.DOC</v>
      </c>
      <c r="N370" s="2" t="str">
        <f>HYPERLINK("http://www.epingalert.org/#/details/G/SPS/N/LKA/20/Add.1")</f>
        <v>http://www.epingalert.org/#/details/G/SPS/N/LKA/20/Add.1</v>
      </c>
      <c r="O370" s="2"/>
    </row>
    <row r="371" spans="1:15" ht="240" customHeight="1" outlineLevel="1" x14ac:dyDescent="0.25">
      <c r="A371" s="2" t="s">
        <v>2930</v>
      </c>
      <c r="B371" s="2" t="s">
        <v>2933</v>
      </c>
      <c r="C371" s="2"/>
      <c r="D371" s="2"/>
      <c r="E371" s="3">
        <v>42489</v>
      </c>
      <c r="F371" s="2" t="s">
        <v>2934</v>
      </c>
      <c r="G371" s="2"/>
      <c r="H371" s="2" t="s">
        <v>2425</v>
      </c>
      <c r="I371" s="2" t="s">
        <v>2491</v>
      </c>
      <c r="J371" s="3">
        <v>42549</v>
      </c>
      <c r="K371" s="2" t="str">
        <f>HYPERLINK("https://docs.wto.org/imrd/directdoc.asp?DDFDocuments/t/G/SPS/NLKA21A1.DOC")</f>
        <v>https://docs.wto.org/imrd/directdoc.asp?DDFDocuments/t/G/SPS/NLKA21A1.DOC</v>
      </c>
      <c r="L371" s="2" t="str">
        <f>HYPERLINK("https://docs.wto.org/imrd/directdoc.asp?DDFDocuments/u/G/SPS/NLKA21A1.DOC")</f>
        <v>https://docs.wto.org/imrd/directdoc.asp?DDFDocuments/u/G/SPS/NLKA21A1.DOC</v>
      </c>
      <c r="M371" s="2" t="str">
        <f>HYPERLINK("https://docs.wto.org/imrd/directdoc.asp?DDFDocuments/v/G/SPS/NLKA21A1.DOC")</f>
        <v>https://docs.wto.org/imrd/directdoc.asp?DDFDocuments/v/G/SPS/NLKA21A1.DOC</v>
      </c>
      <c r="N371" s="2" t="str">
        <f>HYPERLINK("http://www.epingalert.org/#/details/G/SPS/N/LKA/21/Add.1")</f>
        <v>http://www.epingalert.org/#/details/G/SPS/N/LKA/21/Add.1</v>
      </c>
      <c r="O371" s="2"/>
    </row>
    <row r="372" spans="1:15" ht="240" customHeight="1" outlineLevel="1" x14ac:dyDescent="0.25">
      <c r="A372" s="2" t="s">
        <v>37</v>
      </c>
      <c r="B372" s="2" t="s">
        <v>2935</v>
      </c>
      <c r="C372" s="2" t="s">
        <v>2936</v>
      </c>
      <c r="D372" s="2" t="s">
        <v>2937</v>
      </c>
      <c r="E372" s="3">
        <v>42489</v>
      </c>
      <c r="F372" s="2" t="s">
        <v>2938</v>
      </c>
      <c r="G372" s="2"/>
      <c r="H372" s="2" t="s">
        <v>2425</v>
      </c>
      <c r="I372" s="2" t="s">
        <v>2453</v>
      </c>
      <c r="J372" s="3">
        <v>42510</v>
      </c>
      <c r="K372" s="2" t="str">
        <f>HYPERLINK("https://docs.wto.org/imrd/directdoc.asp?DDFDocuments/t/G/SPS/NTUR71.DOC")</f>
        <v>https://docs.wto.org/imrd/directdoc.asp?DDFDocuments/t/G/SPS/NTUR71.DOC</v>
      </c>
      <c r="L372" s="2" t="str">
        <f>HYPERLINK("https://docs.wto.org/imrd/directdoc.asp?DDFDocuments/u/G/SPS/NTUR71.DOC")</f>
        <v>https://docs.wto.org/imrd/directdoc.asp?DDFDocuments/u/G/SPS/NTUR71.DOC</v>
      </c>
      <c r="M372" s="2" t="str">
        <f>HYPERLINK("https://docs.wto.org/imrd/directdoc.asp?DDFDocuments/v/G/SPS/NTUR71.DOC")</f>
        <v>https://docs.wto.org/imrd/directdoc.asp?DDFDocuments/v/G/SPS/NTUR71.DOC</v>
      </c>
      <c r="N372" s="2" t="str">
        <f>HYPERLINK("http://www.epingalert.org/#/details/G/SPS/N/TUR/71")</f>
        <v>http://www.epingalert.org/#/details/G/SPS/N/TUR/71</v>
      </c>
      <c r="O372" s="2"/>
    </row>
    <row r="373" spans="1:15" ht="240" customHeight="1" outlineLevel="1" x14ac:dyDescent="0.25">
      <c r="A373" s="2" t="s">
        <v>12</v>
      </c>
      <c r="B373" s="2" t="s">
        <v>2927</v>
      </c>
      <c r="C373" s="2"/>
      <c r="D373" s="2"/>
      <c r="E373" s="3">
        <v>42489</v>
      </c>
      <c r="F373" s="2" t="s">
        <v>2704</v>
      </c>
      <c r="G373" s="2"/>
      <c r="H373" s="2" t="s">
        <v>2425</v>
      </c>
      <c r="I373" s="2" t="s">
        <v>2444</v>
      </c>
      <c r="J373" s="2"/>
      <c r="K373" s="2" t="str">
        <f>HYPERLINK("https://docs.wto.org/imrd/directdoc.asp?DDFDocuments/t/G/SPS/NEU157A1.DOC")</f>
        <v>https://docs.wto.org/imrd/directdoc.asp?DDFDocuments/t/G/SPS/NEU157A1.DOC</v>
      </c>
      <c r="L373" s="2" t="str">
        <f>HYPERLINK("https://docs.wto.org/imrd/directdoc.asp?DDFDocuments/u/G/SPS/NEU157A1.DOC")</f>
        <v>https://docs.wto.org/imrd/directdoc.asp?DDFDocuments/u/G/SPS/NEU157A1.DOC</v>
      </c>
      <c r="M373" s="2" t="str">
        <f>HYPERLINK("https://docs.wto.org/imrd/directdoc.asp?DDFDocuments/v/G/SPS/NEU157A1.DOC")</f>
        <v>https://docs.wto.org/imrd/directdoc.asp?DDFDocuments/v/G/SPS/NEU157A1.DOC</v>
      </c>
      <c r="N373" s="2" t="str">
        <f>HYPERLINK("http://www.epingalert.org/#/details/G/SPS/N/EU/157/Add.1")</f>
        <v>http://www.epingalert.org/#/details/G/SPS/N/EU/157/Add.1</v>
      </c>
      <c r="O373" s="2"/>
    </row>
    <row r="374" spans="1:15" ht="240" customHeight="1" outlineLevel="1" x14ac:dyDescent="0.25">
      <c r="A374" s="2" t="s">
        <v>12</v>
      </c>
      <c r="B374" s="2" t="s">
        <v>2928</v>
      </c>
      <c r="C374" s="2"/>
      <c r="D374" s="2"/>
      <c r="E374" s="3">
        <v>42489</v>
      </c>
      <c r="F374" s="2" t="s">
        <v>2451</v>
      </c>
      <c r="G374" s="2" t="s">
        <v>2929</v>
      </c>
      <c r="H374" s="2" t="s">
        <v>2425</v>
      </c>
      <c r="I374" s="2" t="s">
        <v>2444</v>
      </c>
      <c r="J374" s="2"/>
      <c r="K374" s="2" t="str">
        <f>HYPERLINK("https://docs.wto.org/imrd/directdoc.asp?DDFDocuments/t/G/SPS/NEU144A1.DOC")</f>
        <v>https://docs.wto.org/imrd/directdoc.asp?DDFDocuments/t/G/SPS/NEU144A1.DOC</v>
      </c>
      <c r="L374" s="2" t="str">
        <f>HYPERLINK("https://docs.wto.org/imrd/directdoc.asp?DDFDocuments/u/G/SPS/NEU144A1.DOC")</f>
        <v>https://docs.wto.org/imrd/directdoc.asp?DDFDocuments/u/G/SPS/NEU144A1.DOC</v>
      </c>
      <c r="M374" s="2" t="str">
        <f>HYPERLINK("https://docs.wto.org/imrd/directdoc.asp?DDFDocuments/v/G/SPS/NEU144A1.DOC")</f>
        <v>https://docs.wto.org/imrd/directdoc.asp?DDFDocuments/v/G/SPS/NEU144A1.DOC</v>
      </c>
      <c r="N374" s="2" t="str">
        <f>HYPERLINK("http://www.epingalert.org/#/details/G/SPS/N/EU/144/Add.1")</f>
        <v>http://www.epingalert.org/#/details/G/SPS/N/EU/144/Add.1</v>
      </c>
      <c r="O374" s="2"/>
    </row>
    <row r="375" spans="1:15" ht="240" customHeight="1" outlineLevel="1" x14ac:dyDescent="0.25">
      <c r="A375" s="2" t="s">
        <v>12</v>
      </c>
      <c r="B375" s="2" t="s">
        <v>7074</v>
      </c>
      <c r="C375" s="2"/>
      <c r="D375" s="2"/>
      <c r="E375" s="3">
        <v>42489</v>
      </c>
      <c r="F375" s="2" t="s">
        <v>7075</v>
      </c>
      <c r="G375" s="2" t="s">
        <v>2039</v>
      </c>
      <c r="H375" s="2" t="s">
        <v>2425</v>
      </c>
      <c r="I375" s="2" t="s">
        <v>2444</v>
      </c>
      <c r="J375" s="2"/>
      <c r="K375" s="2" t="str">
        <f>HYPERLINK("https://docs.wto.org/imrd/directdoc.asp?DDFDocuments/t/G/SPS/NEU135A1.DOC")</f>
        <v>https://docs.wto.org/imrd/directdoc.asp?DDFDocuments/t/G/SPS/NEU135A1.DOC</v>
      </c>
      <c r="L375" s="2" t="str">
        <f>HYPERLINK("https://docs.wto.org/imrd/directdoc.asp?DDFDocuments/u/G/SPS/NEU135A1.DOC")</f>
        <v>https://docs.wto.org/imrd/directdoc.asp?DDFDocuments/u/G/SPS/NEU135A1.DOC</v>
      </c>
      <c r="M375" s="2" t="str">
        <f>HYPERLINK("https://docs.wto.org/imrd/directdoc.asp?DDFDocuments/v/G/SPS/NEU135A1.DOC")</f>
        <v>https://docs.wto.org/imrd/directdoc.asp?DDFDocuments/v/G/SPS/NEU135A1.DOC</v>
      </c>
      <c r="N375" s="2" t="str">
        <f>HYPERLINK("http://www.epingalert.org/#/details/G/SPS/N/EU/135/Add.1")</f>
        <v>http://www.epingalert.org/#/details/G/SPS/N/EU/135/Add.1</v>
      </c>
      <c r="O375" s="2"/>
    </row>
    <row r="376" spans="1:15" ht="240" customHeight="1" outlineLevel="1" x14ac:dyDescent="0.25">
      <c r="A376" s="2" t="s">
        <v>77</v>
      </c>
      <c r="B376" s="2" t="s">
        <v>2941</v>
      </c>
      <c r="C376" s="2" t="s">
        <v>2942</v>
      </c>
      <c r="D376" s="2" t="s">
        <v>2943</v>
      </c>
      <c r="E376" s="3">
        <v>42486</v>
      </c>
      <c r="F376" s="2" t="s">
        <v>2944</v>
      </c>
      <c r="G376" s="2" t="s">
        <v>2945</v>
      </c>
      <c r="H376" s="2" t="s">
        <v>2425</v>
      </c>
      <c r="I376" s="2" t="s">
        <v>2426</v>
      </c>
      <c r="J376" s="3">
        <v>42546</v>
      </c>
      <c r="K376" s="2" t="str">
        <f>HYPERLINK("https://docs.wto.org/imrd/directdoc.asp?DDFDocuments/t/G/SPS/NTPKM396.DOC")</f>
        <v>https://docs.wto.org/imrd/directdoc.asp?DDFDocuments/t/G/SPS/NTPKM396.DOC</v>
      </c>
      <c r="L376" s="2" t="str">
        <f>HYPERLINK("https://docs.wto.org/imrd/directdoc.asp?DDFDocuments/u/G/SPS/NTPKM396.DOC")</f>
        <v>https://docs.wto.org/imrd/directdoc.asp?DDFDocuments/u/G/SPS/NTPKM396.DOC</v>
      </c>
      <c r="M376" s="2" t="str">
        <f>HYPERLINK("https://docs.wto.org/imrd/directdoc.asp?DDFDocuments/v/G/SPS/NTPKM396.DOC")</f>
        <v>https://docs.wto.org/imrd/directdoc.asp?DDFDocuments/v/G/SPS/NTPKM396.DOC</v>
      </c>
      <c r="N376" s="2" t="str">
        <f>HYPERLINK("http://www.epingalert.org/#/details/G/SPS/N/TPKM/396")</f>
        <v>http://www.epingalert.org/#/details/G/SPS/N/TPKM/396</v>
      </c>
      <c r="O376" s="2"/>
    </row>
    <row r="377" spans="1:15" ht="240" customHeight="1" outlineLevel="1" x14ac:dyDescent="0.25">
      <c r="A377" s="2" t="s">
        <v>12</v>
      </c>
      <c r="B377" s="2" t="s">
        <v>2939</v>
      </c>
      <c r="C377" s="2"/>
      <c r="D377" s="2"/>
      <c r="E377" s="3">
        <v>42486</v>
      </c>
      <c r="F377" s="2" t="s">
        <v>2451</v>
      </c>
      <c r="G377" s="2" t="s">
        <v>2940</v>
      </c>
      <c r="H377" s="2" t="s">
        <v>2425</v>
      </c>
      <c r="I377" s="2" t="s">
        <v>2444</v>
      </c>
      <c r="J377" s="2"/>
      <c r="K377" s="2" t="str">
        <f>HYPERLINK("https://docs.wto.org/imrd/directdoc.asp?DDFDocuments/t/G/SPS/NEU116A1.DOC")</f>
        <v>https://docs.wto.org/imrd/directdoc.asp?DDFDocuments/t/G/SPS/NEU116A1.DOC</v>
      </c>
      <c r="L377" s="2" t="str">
        <f>HYPERLINK("https://docs.wto.org/imrd/directdoc.asp?DDFDocuments/u/G/SPS/NEU116A1.DOC")</f>
        <v>https://docs.wto.org/imrd/directdoc.asp?DDFDocuments/u/G/SPS/NEU116A1.DOC</v>
      </c>
      <c r="M377" s="2" t="str">
        <f>HYPERLINK("https://docs.wto.org/imrd/directdoc.asp?DDFDocuments/v/G/SPS/NEU116A1.DOC")</f>
        <v>https://docs.wto.org/imrd/directdoc.asp?DDFDocuments/v/G/SPS/NEU116A1.DOC</v>
      </c>
      <c r="N377" s="2" t="str">
        <f>HYPERLINK("http://www.epingalert.org/#/details/G/SPS/N/EU/116/Add.1")</f>
        <v>http://www.epingalert.org/#/details/G/SPS/N/EU/116/Add.1</v>
      </c>
      <c r="O377" s="2"/>
    </row>
    <row r="378" spans="1:15" ht="240" customHeight="1" outlineLevel="1" x14ac:dyDescent="0.25">
      <c r="A378" s="2" t="s">
        <v>12</v>
      </c>
      <c r="B378" s="2" t="s">
        <v>2946</v>
      </c>
      <c r="C378" s="2"/>
      <c r="D378" s="2"/>
      <c r="E378" s="3">
        <v>42485</v>
      </c>
      <c r="F378" s="2" t="s">
        <v>1236</v>
      </c>
      <c r="G378" s="2"/>
      <c r="H378" s="2" t="s">
        <v>2425</v>
      </c>
      <c r="I378" s="2" t="s">
        <v>2444</v>
      </c>
      <c r="J378" s="2"/>
      <c r="K378" s="2" t="str">
        <f>HYPERLINK("https://docs.wto.org/imrd/directdoc.asp?DDFDocuments/t/G/SPS/NEU138A1.DOC")</f>
        <v>https://docs.wto.org/imrd/directdoc.asp?DDFDocuments/t/G/SPS/NEU138A1.DOC</v>
      </c>
      <c r="L378" s="2" t="str">
        <f>HYPERLINK("https://docs.wto.org/imrd/directdoc.asp?DDFDocuments/u/G/SPS/NEU138A1.DOC")</f>
        <v>https://docs.wto.org/imrd/directdoc.asp?DDFDocuments/u/G/SPS/NEU138A1.DOC</v>
      </c>
      <c r="M378" s="2" t="str">
        <f>HYPERLINK("https://docs.wto.org/imrd/directdoc.asp?DDFDocuments/v/G/SPS/NEU138A1.DOC")</f>
        <v>https://docs.wto.org/imrd/directdoc.asp?DDFDocuments/v/G/SPS/NEU138A1.DOC</v>
      </c>
      <c r="N378" s="2" t="str">
        <f>HYPERLINK("http://www.epingalert.org/#/details/G/SPS/N/EU/138/Add.1")</f>
        <v>http://www.epingalert.org/#/details/G/SPS/N/EU/138/Add.1</v>
      </c>
      <c r="O378" s="2"/>
    </row>
    <row r="379" spans="1:15" ht="240" customHeight="1" outlineLevel="1" x14ac:dyDescent="0.25">
      <c r="A379" s="2" t="s">
        <v>12</v>
      </c>
      <c r="B379" s="2" t="s">
        <v>2947</v>
      </c>
      <c r="C379" s="2"/>
      <c r="D379" s="2"/>
      <c r="E379" s="3">
        <v>42485</v>
      </c>
      <c r="F379" s="2" t="s">
        <v>1236</v>
      </c>
      <c r="G379" s="2"/>
      <c r="H379" s="2" t="s">
        <v>2425</v>
      </c>
      <c r="I379" s="2" t="s">
        <v>2444</v>
      </c>
      <c r="J379" s="2"/>
      <c r="K379" s="2" t="str">
        <f>HYPERLINK("https://docs.wto.org/imrd/directdoc.asp?DDFDocuments/t/G/SPS/NEU139A1.DOC")</f>
        <v>https://docs.wto.org/imrd/directdoc.asp?DDFDocuments/t/G/SPS/NEU139A1.DOC</v>
      </c>
      <c r="L379" s="2" t="str">
        <f>HYPERLINK("https://docs.wto.org/imrd/directdoc.asp?DDFDocuments/u/G/SPS/NEU139A1.DOC")</f>
        <v>https://docs.wto.org/imrd/directdoc.asp?DDFDocuments/u/G/SPS/NEU139A1.DOC</v>
      </c>
      <c r="M379" s="2" t="str">
        <f>HYPERLINK("https://docs.wto.org/imrd/directdoc.asp?DDFDocuments/v/G/SPS/NEU139A1.DOC")</f>
        <v>https://docs.wto.org/imrd/directdoc.asp?DDFDocuments/v/G/SPS/NEU139A1.DOC</v>
      </c>
      <c r="N379" s="2" t="str">
        <f>HYPERLINK("http://www.epingalert.org/#/details/G/SPS/N/EU/139/Add.1")</f>
        <v>http://www.epingalert.org/#/details/G/SPS/N/EU/139/Add.1</v>
      </c>
      <c r="O379" s="2"/>
    </row>
    <row r="380" spans="1:15" ht="240" customHeight="1" outlineLevel="1" x14ac:dyDescent="0.25">
      <c r="A380" s="2" t="s">
        <v>12</v>
      </c>
      <c r="B380" s="2" t="s">
        <v>2948</v>
      </c>
      <c r="C380" s="2"/>
      <c r="D380" s="2"/>
      <c r="E380" s="3">
        <v>42482</v>
      </c>
      <c r="F380" s="2" t="s">
        <v>2451</v>
      </c>
      <c r="G380" s="2" t="s">
        <v>2949</v>
      </c>
      <c r="H380" s="2" t="s">
        <v>2425</v>
      </c>
      <c r="I380" s="2" t="s">
        <v>2784</v>
      </c>
      <c r="J380" s="2"/>
      <c r="K380" s="2" t="str">
        <f>HYPERLINK("https://docs.wto.org/imrd/directdoc.asp?DDFDocuments/t/G/SPS/NEU142A1.DOC")</f>
        <v>https://docs.wto.org/imrd/directdoc.asp?DDFDocuments/t/G/SPS/NEU142A1.DOC</v>
      </c>
      <c r="L380" s="2" t="str">
        <f>HYPERLINK("https://docs.wto.org/imrd/directdoc.asp?DDFDocuments/u/G/SPS/NEU142A1.DOC")</f>
        <v>https://docs.wto.org/imrd/directdoc.asp?DDFDocuments/u/G/SPS/NEU142A1.DOC</v>
      </c>
      <c r="M380" s="2" t="str">
        <f>HYPERLINK("https://docs.wto.org/imrd/directdoc.asp?DDFDocuments/v/G/SPS/NEU142A1.DOC")</f>
        <v>https://docs.wto.org/imrd/directdoc.asp?DDFDocuments/v/G/SPS/NEU142A1.DOC</v>
      </c>
      <c r="N380" s="2" t="str">
        <f>HYPERLINK("http://www.epingalert.org/#/details/G/SPS/N/EU/142/Add.1")</f>
        <v>http://www.epingalert.org/#/details/G/SPS/N/EU/142/Add.1</v>
      </c>
      <c r="O380" s="2"/>
    </row>
    <row r="381" spans="1:15" ht="240" customHeight="1" outlineLevel="1" x14ac:dyDescent="0.25">
      <c r="A381" s="2" t="s">
        <v>12</v>
      </c>
      <c r="B381" s="2" t="s">
        <v>2950</v>
      </c>
      <c r="C381" s="2"/>
      <c r="D381" s="2"/>
      <c r="E381" s="3">
        <v>42482</v>
      </c>
      <c r="F381" s="2" t="s">
        <v>2451</v>
      </c>
      <c r="G381" s="2" t="s">
        <v>2951</v>
      </c>
      <c r="H381" s="2" t="s">
        <v>2425</v>
      </c>
      <c r="I381" s="2" t="s">
        <v>2784</v>
      </c>
      <c r="J381" s="2"/>
      <c r="K381" s="2" t="str">
        <f>HYPERLINK("https://docs.wto.org/imrd/directdoc.asp?DDFDocuments/t/G/SPS/NEU136A2.DOC")</f>
        <v>https://docs.wto.org/imrd/directdoc.asp?DDFDocuments/t/G/SPS/NEU136A2.DOC</v>
      </c>
      <c r="L381" s="2" t="str">
        <f>HYPERLINK("https://docs.wto.org/imrd/directdoc.asp?DDFDocuments/u/G/SPS/NEU136A2.DOC")</f>
        <v>https://docs.wto.org/imrd/directdoc.asp?DDFDocuments/u/G/SPS/NEU136A2.DOC</v>
      </c>
      <c r="M381" s="2" t="str">
        <f>HYPERLINK("https://docs.wto.org/imrd/directdoc.asp?DDFDocuments/v/G/SPS/NEU136A2.DOC")</f>
        <v>https://docs.wto.org/imrd/directdoc.asp?DDFDocuments/v/G/SPS/NEU136A2.DOC</v>
      </c>
      <c r="N381" s="2" t="str">
        <f>HYPERLINK("http://www.epingalert.org/#/details/G/SPS/N/EU/136/Add.2")</f>
        <v>http://www.epingalert.org/#/details/G/SPS/N/EU/136/Add.2</v>
      </c>
      <c r="O381" s="2"/>
    </row>
    <row r="382" spans="1:15" ht="240" customHeight="1" outlineLevel="1" x14ac:dyDescent="0.25">
      <c r="A382" s="2" t="s">
        <v>225</v>
      </c>
      <c r="B382" s="2" t="s">
        <v>2958</v>
      </c>
      <c r="C382" s="2" t="s">
        <v>2959</v>
      </c>
      <c r="D382" s="2" t="s">
        <v>2960</v>
      </c>
      <c r="E382" s="3">
        <v>42481</v>
      </c>
      <c r="F382" s="2" t="s">
        <v>2961</v>
      </c>
      <c r="G382" s="2"/>
      <c r="H382" s="2" t="s">
        <v>2425</v>
      </c>
      <c r="I382" s="2" t="s">
        <v>2431</v>
      </c>
      <c r="J382" s="3">
        <v>42542</v>
      </c>
      <c r="K382" s="2" t="str">
        <f>HYPERLINK("https://docs.wto.org/imrd/directdoc.asp?DDFDocuments/t/G/SPS/NAUS385.DOC")</f>
        <v>https://docs.wto.org/imrd/directdoc.asp?DDFDocuments/t/G/SPS/NAUS385.DOC</v>
      </c>
      <c r="L382" s="2" t="str">
        <f>HYPERLINK("https://docs.wto.org/imrd/directdoc.asp?DDFDocuments/u/G/SPS/NAUS385.DOC")</f>
        <v>https://docs.wto.org/imrd/directdoc.asp?DDFDocuments/u/G/SPS/NAUS385.DOC</v>
      </c>
      <c r="M382" s="2" t="str">
        <f>HYPERLINK("https://docs.wto.org/imrd/directdoc.asp?DDFDocuments/v/G/SPS/NAUS385.DOC")</f>
        <v>https://docs.wto.org/imrd/directdoc.asp?DDFDocuments/v/G/SPS/NAUS385.DOC</v>
      </c>
      <c r="N382" s="2" t="str">
        <f>HYPERLINK("http://www.epingalert.org/#/details/G/SPS/N/AUS/385")</f>
        <v>http://www.epingalert.org/#/details/G/SPS/N/AUS/385</v>
      </c>
      <c r="O382" s="2"/>
    </row>
    <row r="383" spans="1:15" ht="240" customHeight="1" outlineLevel="1" x14ac:dyDescent="0.25">
      <c r="A383" s="2" t="s">
        <v>12</v>
      </c>
      <c r="B383" s="2" t="s">
        <v>2952</v>
      </c>
      <c r="C383" s="2"/>
      <c r="D383" s="2"/>
      <c r="E383" s="3">
        <v>42481</v>
      </c>
      <c r="F383" s="2" t="s">
        <v>2451</v>
      </c>
      <c r="G383" s="2" t="s">
        <v>2953</v>
      </c>
      <c r="H383" s="2" t="s">
        <v>2425</v>
      </c>
      <c r="I383" s="2" t="s">
        <v>2444</v>
      </c>
      <c r="J383" s="2"/>
      <c r="K383" s="2" t="str">
        <f>HYPERLINK("https://docs.wto.org/imrd/directdoc.asp?DDFDocuments/t/G/SPS/NEU133A1.DOC")</f>
        <v>https://docs.wto.org/imrd/directdoc.asp?DDFDocuments/t/G/SPS/NEU133A1.DOC</v>
      </c>
      <c r="L383" s="2" t="str">
        <f>HYPERLINK("https://docs.wto.org/imrd/directdoc.asp?DDFDocuments/u/G/SPS/NEU133A1.DOC")</f>
        <v>https://docs.wto.org/imrd/directdoc.asp?DDFDocuments/u/G/SPS/NEU133A1.DOC</v>
      </c>
      <c r="M383" s="2" t="str">
        <f>HYPERLINK("https://docs.wto.org/imrd/directdoc.asp?DDFDocuments/v/G/SPS/NEU133A1.DOC")</f>
        <v>https://docs.wto.org/imrd/directdoc.asp?DDFDocuments/v/G/SPS/NEU133A1.DOC</v>
      </c>
      <c r="N383" s="2" t="str">
        <f>HYPERLINK("http://www.epingalert.org/#/details/G/SPS/N/EU/133/Add.1")</f>
        <v>http://www.epingalert.org/#/details/G/SPS/N/EU/133/Add.1</v>
      </c>
      <c r="O383" s="2"/>
    </row>
    <row r="384" spans="1:15" ht="240" customHeight="1" outlineLevel="1" x14ac:dyDescent="0.25">
      <c r="A384" s="2" t="s">
        <v>12</v>
      </c>
      <c r="B384" s="2" t="s">
        <v>2954</v>
      </c>
      <c r="C384" s="2"/>
      <c r="D384" s="2"/>
      <c r="E384" s="3">
        <v>42481</v>
      </c>
      <c r="F384" s="2" t="s">
        <v>2451</v>
      </c>
      <c r="G384" s="2" t="s">
        <v>2955</v>
      </c>
      <c r="H384" s="2" t="s">
        <v>2425</v>
      </c>
      <c r="I384" s="2" t="s">
        <v>2444</v>
      </c>
      <c r="J384" s="2"/>
      <c r="K384" s="2" t="str">
        <f>HYPERLINK("https://docs.wto.org/imrd/directdoc.asp?DDFDocuments/t/G/SPS/NEU117A1.DOC")</f>
        <v>https://docs.wto.org/imrd/directdoc.asp?DDFDocuments/t/G/SPS/NEU117A1.DOC</v>
      </c>
      <c r="L384" s="2" t="str">
        <f>HYPERLINK("https://docs.wto.org/imrd/directdoc.asp?DDFDocuments/u/G/SPS/NEU117A1.DOC")</f>
        <v>https://docs.wto.org/imrd/directdoc.asp?DDFDocuments/u/G/SPS/NEU117A1.DOC</v>
      </c>
      <c r="M384" s="2" t="str">
        <f>HYPERLINK("https://docs.wto.org/imrd/directdoc.asp?DDFDocuments/v/G/SPS/NEU117A1.DOC")</f>
        <v>https://docs.wto.org/imrd/directdoc.asp?DDFDocuments/v/G/SPS/NEU117A1.DOC</v>
      </c>
      <c r="N384" s="2" t="str">
        <f>HYPERLINK("http://www.epingalert.org/#/details/G/SPS/N/EU/117/Add.1")</f>
        <v>http://www.epingalert.org/#/details/G/SPS/N/EU/117/Add.1</v>
      </c>
      <c r="O384" s="2"/>
    </row>
    <row r="385" spans="1:15" ht="240" customHeight="1" outlineLevel="1" x14ac:dyDescent="0.25">
      <c r="A385" s="2" t="s">
        <v>12</v>
      </c>
      <c r="B385" s="2" t="s">
        <v>2956</v>
      </c>
      <c r="C385" s="2"/>
      <c r="D385" s="2"/>
      <c r="E385" s="3">
        <v>42481</v>
      </c>
      <c r="F385" s="2" t="s">
        <v>2451</v>
      </c>
      <c r="G385" s="2" t="s">
        <v>2957</v>
      </c>
      <c r="H385" s="2" t="s">
        <v>2425</v>
      </c>
      <c r="I385" s="2" t="s">
        <v>2444</v>
      </c>
      <c r="J385" s="2"/>
      <c r="K385" s="2" t="str">
        <f>HYPERLINK("https://docs.wto.org/imrd/directdoc.asp?DDFDocuments/t/G/SPS/NEU106A1.DOC")</f>
        <v>https://docs.wto.org/imrd/directdoc.asp?DDFDocuments/t/G/SPS/NEU106A1.DOC</v>
      </c>
      <c r="L385" s="2" t="str">
        <f>HYPERLINK("https://docs.wto.org/imrd/directdoc.asp?DDFDocuments/u/G/SPS/NEU106A1.DOC")</f>
        <v>https://docs.wto.org/imrd/directdoc.asp?DDFDocuments/u/G/SPS/NEU106A1.DOC</v>
      </c>
      <c r="M385" s="2" t="str">
        <f>HYPERLINK("https://docs.wto.org/imrd/directdoc.asp?DDFDocuments/v/G/SPS/NEU106A1.DOC")</f>
        <v>https://docs.wto.org/imrd/directdoc.asp?DDFDocuments/v/G/SPS/NEU106A1.DOC</v>
      </c>
      <c r="N385" s="2" t="str">
        <f>HYPERLINK("http://www.epingalert.org/#/details/G/SPS/N/EU/106/Add.1")</f>
        <v>http://www.epingalert.org/#/details/G/SPS/N/EU/106/Add.1</v>
      </c>
      <c r="O385" s="2"/>
    </row>
    <row r="386" spans="1:15" ht="240" customHeight="1" outlineLevel="1" x14ac:dyDescent="0.25">
      <c r="A386" s="2" t="s">
        <v>121</v>
      </c>
      <c r="B386" s="2" t="s">
        <v>7076</v>
      </c>
      <c r="C386" s="2" t="s">
        <v>7077</v>
      </c>
      <c r="D386" s="2" t="s">
        <v>7078</v>
      </c>
      <c r="E386" s="3">
        <v>42480</v>
      </c>
      <c r="F386" s="2" t="s">
        <v>7007</v>
      </c>
      <c r="G386" s="2" t="s">
        <v>6968</v>
      </c>
      <c r="H386" s="2" t="s">
        <v>2454</v>
      </c>
      <c r="I386" s="2" t="s">
        <v>6811</v>
      </c>
      <c r="J386" s="3">
        <v>42540</v>
      </c>
      <c r="K386" s="2" t="str">
        <f>HYPERLINK("https://docs.wto.org/imrd/directdoc.asp?DDFDocuments/t/G/SPS/NIND143.DOC")</f>
        <v>https://docs.wto.org/imrd/directdoc.asp?DDFDocuments/t/G/SPS/NIND143.DOC</v>
      </c>
      <c r="L386" s="2" t="str">
        <f>HYPERLINK("https://docs.wto.org/imrd/directdoc.asp?DDFDocuments/u/G/SPS/NIND143.DOC")</f>
        <v>https://docs.wto.org/imrd/directdoc.asp?DDFDocuments/u/G/SPS/NIND143.DOC</v>
      </c>
      <c r="M386" s="2" t="str">
        <f>HYPERLINK("https://docs.wto.org/imrd/directdoc.asp?DDFDocuments/v/G/SPS/NIND143.DOC")</f>
        <v>https://docs.wto.org/imrd/directdoc.asp?DDFDocuments/v/G/SPS/NIND143.DOC</v>
      </c>
      <c r="N386" s="2" t="str">
        <f>HYPERLINK("http://www.epingalert.org/#/details/G/SPS/N/IND/143")</f>
        <v>http://www.epingalert.org/#/details/G/SPS/N/IND/143</v>
      </c>
      <c r="O386" s="2"/>
    </row>
    <row r="387" spans="1:15" ht="240" customHeight="1" outlineLevel="1" x14ac:dyDescent="0.25">
      <c r="A387" s="2" t="s">
        <v>2456</v>
      </c>
      <c r="B387" s="2" t="s">
        <v>6507</v>
      </c>
      <c r="C387" s="2" t="s">
        <v>6508</v>
      </c>
      <c r="D387" s="2" t="s">
        <v>6509</v>
      </c>
      <c r="E387" s="3">
        <v>42479</v>
      </c>
      <c r="F387" s="2" t="s">
        <v>6510</v>
      </c>
      <c r="G387" s="2" t="s">
        <v>6511</v>
      </c>
      <c r="H387" s="2" t="s">
        <v>2425</v>
      </c>
      <c r="I387" s="2" t="s">
        <v>6512</v>
      </c>
      <c r="J387" s="3">
        <v>42539</v>
      </c>
      <c r="K387" s="2" t="str">
        <f>HYPERLINK("https://docs.wto.org/imrd/directdoc.asp?DDFDocuments/t/G/SPS/NNPL22.DOC")</f>
        <v>https://docs.wto.org/imrd/directdoc.asp?DDFDocuments/t/G/SPS/NNPL22.DOC</v>
      </c>
      <c r="L387" s="2" t="str">
        <f>HYPERLINK("https://docs.wto.org/imrd/directdoc.asp?DDFDocuments/u/G/SPS/NNPL22.DOC")</f>
        <v>https://docs.wto.org/imrd/directdoc.asp?DDFDocuments/u/G/SPS/NNPL22.DOC</v>
      </c>
      <c r="M387" s="2" t="str">
        <f>HYPERLINK("https://docs.wto.org/imrd/directdoc.asp?DDFDocuments/v/G/SPS/NNPL22.DOC")</f>
        <v>https://docs.wto.org/imrd/directdoc.asp?DDFDocuments/v/G/SPS/NNPL22.DOC</v>
      </c>
      <c r="N387" s="2" t="str">
        <f>HYPERLINK("http://www.epingalert.org/#/details/G/SPS/N/NPL/22")</f>
        <v>http://www.epingalert.org/#/details/G/SPS/N/NPL/22</v>
      </c>
      <c r="O387" s="2"/>
    </row>
    <row r="388" spans="1:15" ht="240" customHeight="1" outlineLevel="1" x14ac:dyDescent="0.25">
      <c r="A388" s="2" t="s">
        <v>282</v>
      </c>
      <c r="B388" s="2" t="s">
        <v>2966</v>
      </c>
      <c r="C388" s="2" t="s">
        <v>2967</v>
      </c>
      <c r="D388" s="2" t="s">
        <v>2968</v>
      </c>
      <c r="E388" s="3">
        <v>42478</v>
      </c>
      <c r="F388" s="2" t="s">
        <v>2969</v>
      </c>
      <c r="G388" s="2" t="s">
        <v>2970</v>
      </c>
      <c r="H388" s="2" t="s">
        <v>2654</v>
      </c>
      <c r="I388" s="2" t="s">
        <v>2467</v>
      </c>
      <c r="J388" s="3">
        <v>42538</v>
      </c>
      <c r="K388" s="2" t="str">
        <f>HYPERLINK("https://docs.wto.org/imrd/directdoc.asp?DDFDocuments/t/G/SPS/NRUS121.DOC")</f>
        <v>https://docs.wto.org/imrd/directdoc.asp?DDFDocuments/t/G/SPS/NRUS121.DOC</v>
      </c>
      <c r="L388" s="2" t="str">
        <f>HYPERLINK("https://docs.wto.org/imrd/directdoc.asp?DDFDocuments/u/G/SPS/NRUS121.DOC")</f>
        <v>https://docs.wto.org/imrd/directdoc.asp?DDFDocuments/u/G/SPS/NRUS121.DOC</v>
      </c>
      <c r="M388" s="2" t="str">
        <f>HYPERLINK("https://docs.wto.org/imrd/directdoc.asp?DDFDocuments/v/G/SPS/NRUS121.DOC")</f>
        <v>https://docs.wto.org/imrd/directdoc.asp?DDFDocuments/v/G/SPS/NRUS121.DOC</v>
      </c>
      <c r="N388" s="2" t="str">
        <f>HYPERLINK("http://www.epingalert.org/#/details/G/SPS/N/RUS/121")</f>
        <v>http://www.epingalert.org/#/details/G/SPS/N/RUS/121</v>
      </c>
      <c r="O388" s="2"/>
    </row>
    <row r="389" spans="1:15" ht="240" customHeight="1" outlineLevel="1" x14ac:dyDescent="0.25">
      <c r="A389" s="2" t="s">
        <v>18</v>
      </c>
      <c r="B389" s="2" t="s">
        <v>7082</v>
      </c>
      <c r="C389" s="2" t="s">
        <v>7083</v>
      </c>
      <c r="D389" s="2" t="s">
        <v>7084</v>
      </c>
      <c r="E389" s="3">
        <v>42478</v>
      </c>
      <c r="F389" s="2" t="s">
        <v>7085</v>
      </c>
      <c r="G389" s="2" t="s">
        <v>6781</v>
      </c>
      <c r="H389" s="2" t="s">
        <v>2425</v>
      </c>
      <c r="I389" s="2" t="s">
        <v>2461</v>
      </c>
      <c r="J389" s="3">
        <v>42534</v>
      </c>
      <c r="K389" s="2" t="str">
        <f>HYPERLINK("https://docs.wto.org/imrd/directdoc.asp?DDFDocuments/t/G/SPS/NUSA2847.DOC")</f>
        <v>https://docs.wto.org/imrd/directdoc.asp?DDFDocuments/t/G/SPS/NUSA2847.DOC</v>
      </c>
      <c r="L389" s="2" t="str">
        <f>HYPERLINK("https://docs.wto.org/imrd/directdoc.asp?DDFDocuments/u/G/SPS/NUSA2847.DOC")</f>
        <v>https://docs.wto.org/imrd/directdoc.asp?DDFDocuments/u/G/SPS/NUSA2847.DOC</v>
      </c>
      <c r="M389" s="2" t="str">
        <f>HYPERLINK("https://docs.wto.org/imrd/directdoc.asp?DDFDocuments/v/G/SPS/NUSA2847.DOC")</f>
        <v>https://docs.wto.org/imrd/directdoc.asp?DDFDocuments/v/G/SPS/NUSA2847.DOC</v>
      </c>
      <c r="N389" s="2" t="str">
        <f>HYPERLINK("http://www.epingalert.org/#/details/G/SPS/N/USA/2847")</f>
        <v>http://www.epingalert.org/#/details/G/SPS/N/USA/2847</v>
      </c>
      <c r="O389" s="2"/>
    </row>
    <row r="390" spans="1:15" ht="240" customHeight="1" outlineLevel="1" x14ac:dyDescent="0.25">
      <c r="A390" s="2" t="s">
        <v>646</v>
      </c>
      <c r="B390" s="2" t="s">
        <v>2962</v>
      </c>
      <c r="C390" s="2" t="s">
        <v>2963</v>
      </c>
      <c r="D390" s="2" t="s">
        <v>2964</v>
      </c>
      <c r="E390" s="3">
        <v>42478</v>
      </c>
      <c r="F390" s="2" t="s">
        <v>2965</v>
      </c>
      <c r="G390" s="2"/>
      <c r="H390" s="2" t="s">
        <v>2425</v>
      </c>
      <c r="I390" s="2" t="s">
        <v>2461</v>
      </c>
      <c r="J390" s="3">
        <v>42505</v>
      </c>
      <c r="K390" s="2" t="str">
        <f>HYPERLINK("https://docs.wto.org/imrd/directdoc.asp?DDFDocuments/t/G/SPS/NVNM77.DOC")</f>
        <v>https://docs.wto.org/imrd/directdoc.asp?DDFDocuments/t/G/SPS/NVNM77.DOC</v>
      </c>
      <c r="L390" s="2" t="str">
        <f>HYPERLINK("https://docs.wto.org/imrd/directdoc.asp?DDFDocuments/u/G/SPS/NVNM77.DOC")</f>
        <v>https://docs.wto.org/imrd/directdoc.asp?DDFDocuments/u/G/SPS/NVNM77.DOC</v>
      </c>
      <c r="M390" s="2" t="str">
        <f>HYPERLINK("https://docs.wto.org/imrd/directdoc.asp?DDFDocuments/v/G/SPS/NVNM77.DOC")</f>
        <v>https://docs.wto.org/imrd/directdoc.asp?DDFDocuments/v/G/SPS/NVNM77.DOC</v>
      </c>
      <c r="N390" s="2" t="str">
        <f>HYPERLINK("http://www.epingalert.org/#/details/G/SPS/N/VNM/77")</f>
        <v>http://www.epingalert.org/#/details/G/SPS/N/VNM/77</v>
      </c>
      <c r="O390" s="2"/>
    </row>
    <row r="391" spans="1:15" ht="240" customHeight="1" outlineLevel="1" x14ac:dyDescent="0.25">
      <c r="A391" s="2" t="s">
        <v>18</v>
      </c>
      <c r="B391" s="2" t="s">
        <v>7079</v>
      </c>
      <c r="C391" s="2"/>
      <c r="D391" s="2"/>
      <c r="E391" s="3">
        <v>42478</v>
      </c>
      <c r="F391" s="2" t="s">
        <v>7080</v>
      </c>
      <c r="G391" s="2" t="s">
        <v>7081</v>
      </c>
      <c r="H391" s="2" t="s">
        <v>2425</v>
      </c>
      <c r="I391" s="2" t="s">
        <v>2444</v>
      </c>
      <c r="J391" s="2"/>
      <c r="K391" s="2" t="str">
        <f>HYPERLINK("https://docs.wto.org/imrd/directdoc.asp?DDFDocuments/t/G/SPS/NUSA2415A1.DOC")</f>
        <v>https://docs.wto.org/imrd/directdoc.asp?DDFDocuments/t/G/SPS/NUSA2415A1.DOC</v>
      </c>
      <c r="L391" s="2" t="str">
        <f>HYPERLINK("https://docs.wto.org/imrd/directdoc.asp?DDFDocuments/u/G/SPS/NUSA2415A1.DOC")</f>
        <v>https://docs.wto.org/imrd/directdoc.asp?DDFDocuments/u/G/SPS/NUSA2415A1.DOC</v>
      </c>
      <c r="M391" s="2" t="str">
        <f>HYPERLINK("https://docs.wto.org/imrd/directdoc.asp?DDFDocuments/v/G/SPS/NUSA2415A1.DOC")</f>
        <v>https://docs.wto.org/imrd/directdoc.asp?DDFDocuments/v/G/SPS/NUSA2415A1.DOC</v>
      </c>
      <c r="N391" s="2" t="str">
        <f>HYPERLINK("http://www.epingalert.org/#/details/G/SPS/N/USA/2415/Add.1")</f>
        <v>http://www.epingalert.org/#/details/G/SPS/N/USA/2415/Add.1</v>
      </c>
      <c r="O391" s="2"/>
    </row>
    <row r="392" spans="1:15" ht="240" customHeight="1" outlineLevel="1" x14ac:dyDescent="0.25">
      <c r="A392" s="2" t="s">
        <v>77</v>
      </c>
      <c r="B392" s="2" t="s">
        <v>7088</v>
      </c>
      <c r="C392" s="2" t="s">
        <v>7089</v>
      </c>
      <c r="D392" s="2" t="s">
        <v>7090</v>
      </c>
      <c r="E392" s="3">
        <v>42475</v>
      </c>
      <c r="F392" s="2" t="s">
        <v>7091</v>
      </c>
      <c r="G392" s="2" t="s">
        <v>5686</v>
      </c>
      <c r="H392" s="2" t="s">
        <v>2425</v>
      </c>
      <c r="I392" s="2" t="s">
        <v>2461</v>
      </c>
      <c r="J392" s="3">
        <v>42535</v>
      </c>
      <c r="K392" s="2" t="str">
        <f>HYPERLINK("https://docs.wto.org/imrd/directdoc.asp?DDFDocuments/t/G/SPS/NTPKM393.DOC")</f>
        <v>https://docs.wto.org/imrd/directdoc.asp?DDFDocuments/t/G/SPS/NTPKM393.DOC</v>
      </c>
      <c r="L392" s="2" t="str">
        <f>HYPERLINK("https://docs.wto.org/imrd/directdoc.asp?DDFDocuments/u/G/SPS/NTPKM393.DOC")</f>
        <v>https://docs.wto.org/imrd/directdoc.asp?DDFDocuments/u/G/SPS/NTPKM393.DOC</v>
      </c>
      <c r="M392" s="2" t="str">
        <f>HYPERLINK("https://docs.wto.org/imrd/directdoc.asp?DDFDocuments/v/G/SPS/NTPKM393.DOC")</f>
        <v>https://docs.wto.org/imrd/directdoc.asp?DDFDocuments/v/G/SPS/NTPKM393.DOC</v>
      </c>
      <c r="N392" s="2" t="str">
        <f>HYPERLINK("http://www.epingalert.org/#/details/G/SPS/N/TPKM/393")</f>
        <v>http://www.epingalert.org/#/details/G/SPS/N/TPKM/393</v>
      </c>
      <c r="O392" s="2"/>
    </row>
    <row r="393" spans="1:15" ht="240" customHeight="1" outlineLevel="1" x14ac:dyDescent="0.25">
      <c r="A393" s="2" t="s">
        <v>128</v>
      </c>
      <c r="B393" s="2" t="s">
        <v>7086</v>
      </c>
      <c r="C393" s="2"/>
      <c r="D393" s="2"/>
      <c r="E393" s="3">
        <v>42475</v>
      </c>
      <c r="F393" s="2"/>
      <c r="G393" s="2" t="s">
        <v>7087</v>
      </c>
      <c r="H393" s="2" t="s">
        <v>2467</v>
      </c>
      <c r="I393" s="2" t="s">
        <v>2467</v>
      </c>
      <c r="J393" s="2"/>
      <c r="K393" s="2" t="str">
        <f>HYPERLINK("https://docs.wto.org/imrd/directdoc.asp?DDFDocuments/t/G/SPS/NPER643.DOC")</f>
        <v>https://docs.wto.org/imrd/directdoc.asp?DDFDocuments/t/G/SPS/NPER643.DOC</v>
      </c>
      <c r="L393" s="2" t="str">
        <f>HYPERLINK("https://docs.wto.org/imrd/directdoc.asp?DDFDocuments/u/G/SPS/NPER643.DOC")</f>
        <v>https://docs.wto.org/imrd/directdoc.asp?DDFDocuments/u/G/SPS/NPER643.DOC</v>
      </c>
      <c r="M393" s="2" t="str">
        <f>HYPERLINK("https://docs.wto.org/imrd/directdoc.asp?DDFDocuments/v/G/SPS/NPER643.DOC")</f>
        <v>https://docs.wto.org/imrd/directdoc.asp?DDFDocuments/v/G/SPS/NPER643.DOC</v>
      </c>
      <c r="N393" s="2" t="str">
        <f>HYPERLINK("http://www.epingalert.org/#/details/G/SPS/N/PER/643")</f>
        <v>http://www.epingalert.org/#/details/G/SPS/N/PER/643</v>
      </c>
      <c r="O393" s="2"/>
    </row>
    <row r="394" spans="1:15" ht="240" customHeight="1" outlineLevel="1" x14ac:dyDescent="0.25">
      <c r="A394" s="2" t="s">
        <v>18</v>
      </c>
      <c r="B394" s="2" t="s">
        <v>7092</v>
      </c>
      <c r="C394" s="2"/>
      <c r="D394" s="2"/>
      <c r="E394" s="3">
        <v>42473</v>
      </c>
      <c r="F394" s="2" t="s">
        <v>7093</v>
      </c>
      <c r="G394" s="2" t="s">
        <v>7094</v>
      </c>
      <c r="H394" s="2" t="s">
        <v>2425</v>
      </c>
      <c r="I394" s="2" t="s">
        <v>2491</v>
      </c>
      <c r="J394" s="3">
        <v>42517</v>
      </c>
      <c r="K394" s="2" t="str">
        <f>HYPERLINK("https://docs.wto.org/imrd/directdoc.asp?DDFDocuments/t/G/SPS/NUSA401A3.DOC")</f>
        <v>https://docs.wto.org/imrd/directdoc.asp?DDFDocuments/t/G/SPS/NUSA401A3.DOC</v>
      </c>
      <c r="L394" s="2" t="str">
        <f>HYPERLINK("https://docs.wto.org/imrd/directdoc.asp?DDFDocuments/u/G/SPS/NUSA401A3.DOC")</f>
        <v>https://docs.wto.org/imrd/directdoc.asp?DDFDocuments/u/G/SPS/NUSA401A3.DOC</v>
      </c>
      <c r="M394" s="2" t="str">
        <f>HYPERLINK("https://docs.wto.org/imrd/directdoc.asp?DDFDocuments/v/G/SPS/NUSA401A3.DOC")</f>
        <v>https://docs.wto.org/imrd/directdoc.asp?DDFDocuments/v/G/SPS/NUSA401A3.DOC</v>
      </c>
      <c r="N394" s="2" t="str">
        <f>HYPERLINK("http://www.epingalert.org/#/details/G/SPS/N/USA/401/Add.3")</f>
        <v>http://www.epingalert.org/#/details/G/SPS/N/USA/401/Add.3</v>
      </c>
      <c r="O394" s="2"/>
    </row>
    <row r="395" spans="1:15" ht="240" customHeight="1" outlineLevel="1" x14ac:dyDescent="0.25">
      <c r="A395" s="2" t="s">
        <v>121</v>
      </c>
      <c r="B395" s="2" t="s">
        <v>7095</v>
      </c>
      <c r="C395" s="2" t="s">
        <v>3047</v>
      </c>
      <c r="D395" s="2" t="s">
        <v>7096</v>
      </c>
      <c r="E395" s="3">
        <v>42472</v>
      </c>
      <c r="F395" s="2" t="s">
        <v>7097</v>
      </c>
      <c r="G395" s="2" t="s">
        <v>7098</v>
      </c>
      <c r="H395" s="2" t="s">
        <v>2425</v>
      </c>
      <c r="I395" s="2" t="s">
        <v>2461</v>
      </c>
      <c r="J395" s="3">
        <v>42532</v>
      </c>
      <c r="K395" s="2" t="str">
        <f>HYPERLINK("https://docs.wto.org/imrd/directdoc.asp?DDFDocuments/t/G/SPS/NIND142.DOC")</f>
        <v>https://docs.wto.org/imrd/directdoc.asp?DDFDocuments/t/G/SPS/NIND142.DOC</v>
      </c>
      <c r="L395" s="2" t="str">
        <f>HYPERLINK("https://docs.wto.org/imrd/directdoc.asp?DDFDocuments/u/G/SPS/NIND142.DOC")</f>
        <v>https://docs.wto.org/imrd/directdoc.asp?DDFDocuments/u/G/SPS/NIND142.DOC</v>
      </c>
      <c r="M395" s="2" t="str">
        <f>HYPERLINK("https://docs.wto.org/imrd/directdoc.asp?DDFDocuments/v/G/SPS/NIND142.DOC")</f>
        <v>https://docs.wto.org/imrd/directdoc.asp?DDFDocuments/v/G/SPS/NIND142.DOC</v>
      </c>
      <c r="N395" s="2" t="str">
        <f>HYPERLINK("http://www.epingalert.org/#/details/G/SPS/N/IND/142")</f>
        <v>http://www.epingalert.org/#/details/G/SPS/N/IND/142</v>
      </c>
      <c r="O395" s="2"/>
    </row>
    <row r="396" spans="1:15" ht="240" customHeight="1" outlineLevel="1" x14ac:dyDescent="0.25">
      <c r="A396" s="2" t="s">
        <v>77</v>
      </c>
      <c r="B396" s="2" t="s">
        <v>2974</v>
      </c>
      <c r="C396" s="2" t="s">
        <v>2914</v>
      </c>
      <c r="D396" s="2" t="s">
        <v>2975</v>
      </c>
      <c r="E396" s="3">
        <v>42468</v>
      </c>
      <c r="F396" s="2" t="s">
        <v>2435</v>
      </c>
      <c r="G396" s="2"/>
      <c r="H396" s="2" t="s">
        <v>2425</v>
      </c>
      <c r="I396" s="2" t="s">
        <v>2426</v>
      </c>
      <c r="J396" s="3">
        <v>42528</v>
      </c>
      <c r="K396" s="2" t="str">
        <f>HYPERLINK("https://docs.wto.org/imrd/directdoc.asp?DDFDocuments/t/G/SPS/NTPKM392.DOC")</f>
        <v>https://docs.wto.org/imrd/directdoc.asp?DDFDocuments/t/G/SPS/NTPKM392.DOC</v>
      </c>
      <c r="L396" s="2" t="str">
        <f>HYPERLINK("https://docs.wto.org/imrd/directdoc.asp?DDFDocuments/u/G/SPS/NTPKM392.DOC")</f>
        <v>https://docs.wto.org/imrd/directdoc.asp?DDFDocuments/u/G/SPS/NTPKM392.DOC</v>
      </c>
      <c r="M396" s="2" t="str">
        <f>HYPERLINK("https://docs.wto.org/imrd/directdoc.asp?DDFDocuments/v/G/SPS/NTPKM392.DOC")</f>
        <v>https://docs.wto.org/imrd/directdoc.asp?DDFDocuments/v/G/SPS/NTPKM392.DOC</v>
      </c>
      <c r="N396" s="2" t="str">
        <f>HYPERLINK("http://www.epingalert.org/#/details/G/SPS/N/TPKM/392")</f>
        <v>http://www.epingalert.org/#/details/G/SPS/N/TPKM/392</v>
      </c>
      <c r="O396" s="2"/>
    </row>
    <row r="397" spans="1:15" ht="240" customHeight="1" outlineLevel="1" x14ac:dyDescent="0.25">
      <c r="A397" s="2" t="s">
        <v>18</v>
      </c>
      <c r="B397" s="2" t="s">
        <v>2971</v>
      </c>
      <c r="C397" s="2"/>
      <c r="D397" s="2"/>
      <c r="E397" s="3">
        <v>42468</v>
      </c>
      <c r="F397" s="2" t="s">
        <v>2972</v>
      </c>
      <c r="G397" s="2" t="s">
        <v>2973</v>
      </c>
      <c r="H397" s="2" t="s">
        <v>2425</v>
      </c>
      <c r="I397" s="2" t="s">
        <v>2444</v>
      </c>
      <c r="J397" s="2"/>
      <c r="K397" s="2" t="str">
        <f>HYPERLINK("https://docs.wto.org/imrd/directdoc.asp?DDFDocuments/t/G/SPS/NUSA2631A2.DOC")</f>
        <v>https://docs.wto.org/imrd/directdoc.asp?DDFDocuments/t/G/SPS/NUSA2631A2.DOC</v>
      </c>
      <c r="L397" s="2" t="str">
        <f>HYPERLINK("https://docs.wto.org/imrd/directdoc.asp?DDFDocuments/u/G/SPS/NUSA2631A2.DOC")</f>
        <v>https://docs.wto.org/imrd/directdoc.asp?DDFDocuments/u/G/SPS/NUSA2631A2.DOC</v>
      </c>
      <c r="M397" s="2" t="str">
        <f>HYPERLINK("https://docs.wto.org/imrd/directdoc.asp?DDFDocuments/v/G/SPS/NUSA2631A2.DOC")</f>
        <v>https://docs.wto.org/imrd/directdoc.asp?DDFDocuments/v/G/SPS/NUSA2631A2.DOC</v>
      </c>
      <c r="N397" s="2" t="str">
        <f>HYPERLINK("http://www.epingalert.org/#/details/G/SPS/N/USA/2631/Add.2")</f>
        <v>http://www.epingalert.org/#/details/G/SPS/N/USA/2631/Add.2</v>
      </c>
      <c r="O397" s="2"/>
    </row>
    <row r="398" spans="1:15" ht="240" customHeight="1" outlineLevel="1" x14ac:dyDescent="0.25">
      <c r="A398" s="2" t="s">
        <v>225</v>
      </c>
      <c r="B398" s="2" t="s">
        <v>2976</v>
      </c>
      <c r="C398" s="2" t="s">
        <v>2977</v>
      </c>
      <c r="D398" s="2" t="s">
        <v>2494</v>
      </c>
      <c r="E398" s="3">
        <v>42467</v>
      </c>
      <c r="F398" s="2" t="s">
        <v>2430</v>
      </c>
      <c r="G398" s="2"/>
      <c r="H398" s="2" t="s">
        <v>2425</v>
      </c>
      <c r="I398" s="2" t="s">
        <v>2431</v>
      </c>
      <c r="J398" s="3">
        <v>42531</v>
      </c>
      <c r="K398" s="2" t="str">
        <f>HYPERLINK("https://docs.wto.org/imrd/directdoc.asp?DDFDocuments/t/G/SPS/NAUS383.DOC")</f>
        <v>https://docs.wto.org/imrd/directdoc.asp?DDFDocuments/t/G/SPS/NAUS383.DOC</v>
      </c>
      <c r="L398" s="2" t="str">
        <f>HYPERLINK("https://docs.wto.org/imrd/directdoc.asp?DDFDocuments/u/G/SPS/NAUS383.DOC")</f>
        <v>https://docs.wto.org/imrd/directdoc.asp?DDFDocuments/u/G/SPS/NAUS383.DOC</v>
      </c>
      <c r="M398" s="2" t="str">
        <f>HYPERLINK("https://docs.wto.org/imrd/directdoc.asp?DDFDocuments/v/G/SPS/NAUS383.DOC")</f>
        <v>https://docs.wto.org/imrd/directdoc.asp?DDFDocuments/v/G/SPS/NAUS383.DOC</v>
      </c>
      <c r="N398" s="2" t="str">
        <f>HYPERLINK("http://www.epingalert.org/#/details/G/SPS/N/AUS/383")</f>
        <v>http://www.epingalert.org/#/details/G/SPS/N/AUS/383</v>
      </c>
      <c r="O398" s="2"/>
    </row>
    <row r="399" spans="1:15" ht="240" customHeight="1" outlineLevel="1" x14ac:dyDescent="0.25">
      <c r="A399" s="2" t="s">
        <v>12</v>
      </c>
      <c r="B399" s="2" t="s">
        <v>2978</v>
      </c>
      <c r="C399" s="2" t="s">
        <v>2979</v>
      </c>
      <c r="D399" s="2" t="s">
        <v>2980</v>
      </c>
      <c r="E399" s="3">
        <v>42466</v>
      </c>
      <c r="F399" s="2" t="s">
        <v>2507</v>
      </c>
      <c r="G399" s="2" t="s">
        <v>2981</v>
      </c>
      <c r="H399" s="2" t="s">
        <v>2425</v>
      </c>
      <c r="I399" s="2" t="s">
        <v>2453</v>
      </c>
      <c r="J399" s="3">
        <v>42526</v>
      </c>
      <c r="K399" s="2" t="str">
        <f>HYPERLINK("https://docs.wto.org/imrd/directdoc.asp?DDFDocuments/t/G/SPS/NEU163.DOC")</f>
        <v>https://docs.wto.org/imrd/directdoc.asp?DDFDocuments/t/G/SPS/NEU163.DOC</v>
      </c>
      <c r="L399" s="2" t="str">
        <f>HYPERLINK("https://docs.wto.org/imrd/directdoc.asp?DDFDocuments/u/G/SPS/NEU163.DOC")</f>
        <v>https://docs.wto.org/imrd/directdoc.asp?DDFDocuments/u/G/SPS/NEU163.DOC</v>
      </c>
      <c r="M399" s="2" t="str">
        <f>HYPERLINK("https://docs.wto.org/imrd/directdoc.asp?DDFDocuments/v/G/SPS/NEU163.DOC")</f>
        <v>https://docs.wto.org/imrd/directdoc.asp?DDFDocuments/v/G/SPS/NEU163.DOC</v>
      </c>
      <c r="N399" s="2" t="str">
        <f>HYPERLINK("http://www.epingalert.org/#/details/G/SPS/N/EU/163")</f>
        <v>http://www.epingalert.org/#/details/G/SPS/N/EU/163</v>
      </c>
      <c r="O399" s="2"/>
    </row>
    <row r="400" spans="1:15" ht="240" customHeight="1" outlineLevel="1" x14ac:dyDescent="0.25">
      <c r="A400" s="2" t="s">
        <v>25</v>
      </c>
      <c r="B400" s="2" t="s">
        <v>7099</v>
      </c>
      <c r="C400" s="2" t="s">
        <v>5705</v>
      </c>
      <c r="D400" s="2" t="s">
        <v>7100</v>
      </c>
      <c r="E400" s="3">
        <v>42466</v>
      </c>
      <c r="F400" s="2" t="s">
        <v>5707</v>
      </c>
      <c r="G400" s="2" t="s">
        <v>2248</v>
      </c>
      <c r="H400" s="2" t="s">
        <v>2425</v>
      </c>
      <c r="I400" s="2" t="s">
        <v>2461</v>
      </c>
      <c r="J400" s="3">
        <v>42526</v>
      </c>
      <c r="K400" s="2" t="str">
        <f>HYPERLINK("https://docs.wto.org/imrd/directdoc.asp?DDFDocuments/t/G/SPS/NKOR531.DOC")</f>
        <v>https://docs.wto.org/imrd/directdoc.asp?DDFDocuments/t/G/SPS/NKOR531.DOC</v>
      </c>
      <c r="L400" s="2" t="str">
        <f>HYPERLINK("https://docs.wto.org/imrd/directdoc.asp?DDFDocuments/u/G/SPS/NKOR531.DOC")</f>
        <v>https://docs.wto.org/imrd/directdoc.asp?DDFDocuments/u/G/SPS/NKOR531.DOC</v>
      </c>
      <c r="M400" s="2" t="str">
        <f>HYPERLINK("https://docs.wto.org/imrd/directdoc.asp?DDFDocuments/v/G/SPS/NKOR531.DOC")</f>
        <v>https://docs.wto.org/imrd/directdoc.asp?DDFDocuments/v/G/SPS/NKOR531.DOC</v>
      </c>
      <c r="N400" s="2" t="str">
        <f>HYPERLINK("http://www.epingalert.org/#/details/G/SPS/N/KOR/531")</f>
        <v>http://www.epingalert.org/#/details/G/SPS/N/KOR/531</v>
      </c>
      <c r="O400" s="2"/>
    </row>
    <row r="401" spans="1:15" ht="240" customHeight="1" outlineLevel="1" x14ac:dyDescent="0.25">
      <c r="A401" s="2" t="s">
        <v>12</v>
      </c>
      <c r="B401" s="2" t="s">
        <v>7101</v>
      </c>
      <c r="C401" s="2" t="s">
        <v>7102</v>
      </c>
      <c r="D401" s="2" t="s">
        <v>7103</v>
      </c>
      <c r="E401" s="3">
        <v>42466</v>
      </c>
      <c r="F401" s="2" t="s">
        <v>7104</v>
      </c>
      <c r="G401" s="2" t="s">
        <v>7105</v>
      </c>
      <c r="H401" s="2" t="s">
        <v>2425</v>
      </c>
      <c r="I401" s="2" t="s">
        <v>7106</v>
      </c>
      <c r="J401" s="2"/>
      <c r="K401" s="2" t="str">
        <f>HYPERLINK("https://docs.wto.org/imrd/directdoc.asp?DDFDocuments/t/G/SPS/NEU162.DOC")</f>
        <v>https://docs.wto.org/imrd/directdoc.asp?DDFDocuments/t/G/SPS/NEU162.DOC</v>
      </c>
      <c r="L401" s="2" t="str">
        <f>HYPERLINK("https://docs.wto.org/imrd/directdoc.asp?DDFDocuments/u/G/SPS/NEU162.DOC")</f>
        <v>https://docs.wto.org/imrd/directdoc.asp?DDFDocuments/u/G/SPS/NEU162.DOC</v>
      </c>
      <c r="M401" s="2" t="str">
        <f>HYPERLINK("https://docs.wto.org/imrd/directdoc.asp?DDFDocuments/v/G/SPS/NEU162.DOC")</f>
        <v>https://docs.wto.org/imrd/directdoc.asp?DDFDocuments/v/G/SPS/NEU162.DOC</v>
      </c>
      <c r="N401" s="2" t="str">
        <f>HYPERLINK("http://www.epingalert.org/#/details/G/SPS/N/EU/162")</f>
        <v>http://www.epingalert.org/#/details/G/SPS/N/EU/162</v>
      </c>
      <c r="O401" s="2"/>
    </row>
    <row r="402" spans="1:15" ht="240" customHeight="1" outlineLevel="1" x14ac:dyDescent="0.25">
      <c r="A402" s="2" t="s">
        <v>12</v>
      </c>
      <c r="B402" s="2" t="s">
        <v>2982</v>
      </c>
      <c r="C402" s="2" t="s">
        <v>2983</v>
      </c>
      <c r="D402" s="2" t="s">
        <v>2984</v>
      </c>
      <c r="E402" s="3">
        <v>42465</v>
      </c>
      <c r="F402" s="2" t="s">
        <v>2742</v>
      </c>
      <c r="G402" s="2" t="s">
        <v>2985</v>
      </c>
      <c r="H402" s="2" t="s">
        <v>2425</v>
      </c>
      <c r="I402" s="2" t="s">
        <v>2453</v>
      </c>
      <c r="J402" s="3">
        <v>42525</v>
      </c>
      <c r="K402" s="2" t="str">
        <f>HYPERLINK("https://docs.wto.org/imrd/directdoc.asp?DDFDocuments/t/G/SPS/NEU161.DOC")</f>
        <v>https://docs.wto.org/imrd/directdoc.asp?DDFDocuments/t/G/SPS/NEU161.DOC</v>
      </c>
      <c r="L402" s="2" t="str">
        <f>HYPERLINK("https://docs.wto.org/imrd/directdoc.asp?DDFDocuments/u/G/SPS/NEU161.DOC")</f>
        <v>https://docs.wto.org/imrd/directdoc.asp?DDFDocuments/u/G/SPS/NEU161.DOC</v>
      </c>
      <c r="M402" s="2" t="str">
        <f>HYPERLINK("https://docs.wto.org/imrd/directdoc.asp?DDFDocuments/v/G/SPS/NEU161.DOC")</f>
        <v>https://docs.wto.org/imrd/directdoc.asp?DDFDocuments/v/G/SPS/NEU161.DOC</v>
      </c>
      <c r="N402" s="2" t="str">
        <f>HYPERLINK("http://www.epingalert.org/#/details/G/SPS/N/EU/161")</f>
        <v>http://www.epingalert.org/#/details/G/SPS/N/EU/161</v>
      </c>
      <c r="O402" s="2"/>
    </row>
    <row r="403" spans="1:15" ht="240" customHeight="1" outlineLevel="1" x14ac:dyDescent="0.25">
      <c r="A403" s="2" t="s">
        <v>12</v>
      </c>
      <c r="B403" s="2" t="s">
        <v>2986</v>
      </c>
      <c r="C403" s="2" t="s">
        <v>2987</v>
      </c>
      <c r="D403" s="2" t="s">
        <v>2988</v>
      </c>
      <c r="E403" s="3">
        <v>42465</v>
      </c>
      <c r="F403" s="2" t="s">
        <v>2989</v>
      </c>
      <c r="G403" s="2" t="s">
        <v>2990</v>
      </c>
      <c r="H403" s="2" t="s">
        <v>2425</v>
      </c>
      <c r="I403" s="2" t="s">
        <v>2453</v>
      </c>
      <c r="J403" s="3">
        <v>42525</v>
      </c>
      <c r="K403" s="2" t="str">
        <f>HYPERLINK("https://docs.wto.org/imrd/directdoc.asp?DDFDocuments/t/G/SPS/NEU160.DOC")</f>
        <v>https://docs.wto.org/imrd/directdoc.asp?DDFDocuments/t/G/SPS/NEU160.DOC</v>
      </c>
      <c r="L403" s="2" t="str">
        <f>HYPERLINK("https://docs.wto.org/imrd/directdoc.asp?DDFDocuments/u/G/SPS/NEU160.DOC")</f>
        <v>https://docs.wto.org/imrd/directdoc.asp?DDFDocuments/u/G/SPS/NEU160.DOC</v>
      </c>
      <c r="M403" s="2" t="str">
        <f>HYPERLINK("https://docs.wto.org/imrd/directdoc.asp?DDFDocuments/v/G/SPS/NEU160.DOC")</f>
        <v>https://docs.wto.org/imrd/directdoc.asp?DDFDocuments/v/G/SPS/NEU160.DOC</v>
      </c>
      <c r="N403" s="2" t="str">
        <f>HYPERLINK("http://www.epingalert.org/#/details/G/SPS/N/EU/160")</f>
        <v>http://www.epingalert.org/#/details/G/SPS/N/EU/160</v>
      </c>
      <c r="O403" s="2"/>
    </row>
    <row r="404" spans="1:15" ht="240" customHeight="1" outlineLevel="1" x14ac:dyDescent="0.25">
      <c r="A404" s="2" t="s">
        <v>25</v>
      </c>
      <c r="B404" s="2" t="s">
        <v>2991</v>
      </c>
      <c r="C404" s="2" t="s">
        <v>2992</v>
      </c>
      <c r="D404" s="2" t="s">
        <v>2993</v>
      </c>
      <c r="E404" s="3">
        <v>42464</v>
      </c>
      <c r="F404" s="2" t="s">
        <v>299</v>
      </c>
      <c r="G404" s="2" t="s">
        <v>2994</v>
      </c>
      <c r="H404" s="2" t="s">
        <v>2425</v>
      </c>
      <c r="I404" s="2" t="s">
        <v>2995</v>
      </c>
      <c r="J404" s="3">
        <v>42524</v>
      </c>
      <c r="K404" s="2" t="str">
        <f>HYPERLINK("https://docs.wto.org/imrd/directdoc.asp?DDFDocuments/t/G/SPS/NKOR530.DOC")</f>
        <v>https://docs.wto.org/imrd/directdoc.asp?DDFDocuments/t/G/SPS/NKOR530.DOC</v>
      </c>
      <c r="L404" s="2" t="str">
        <f>HYPERLINK("https://docs.wto.org/imrd/directdoc.asp?DDFDocuments/u/G/SPS/NKOR530.DOC")</f>
        <v>https://docs.wto.org/imrd/directdoc.asp?DDFDocuments/u/G/SPS/NKOR530.DOC</v>
      </c>
      <c r="M404" s="2" t="str">
        <f>HYPERLINK("https://docs.wto.org/imrd/directdoc.asp?DDFDocuments/v/G/SPS/NKOR530.DOC")</f>
        <v>https://docs.wto.org/imrd/directdoc.asp?DDFDocuments/v/G/SPS/NKOR530.DOC</v>
      </c>
      <c r="N404" s="2" t="str">
        <f>HYPERLINK("http://www.epingalert.org/#/details/G/SPS/N/KOR/530")</f>
        <v>http://www.epingalert.org/#/details/G/SPS/N/KOR/530</v>
      </c>
      <c r="O404" s="2"/>
    </row>
    <row r="405" spans="1:15" ht="240" customHeight="1" outlineLevel="1" x14ac:dyDescent="0.25">
      <c r="A405" s="2" t="s">
        <v>98</v>
      </c>
      <c r="B405" s="2" t="s">
        <v>7107</v>
      </c>
      <c r="C405" s="2" t="s">
        <v>7108</v>
      </c>
      <c r="D405" s="2" t="s">
        <v>7109</v>
      </c>
      <c r="E405" s="3">
        <v>42464</v>
      </c>
      <c r="F405" s="2" t="s">
        <v>7110</v>
      </c>
      <c r="G405" s="2" t="s">
        <v>7111</v>
      </c>
      <c r="H405" s="2" t="s">
        <v>2425</v>
      </c>
      <c r="I405" s="2" t="s">
        <v>2558</v>
      </c>
      <c r="J405" s="3">
        <v>42524</v>
      </c>
      <c r="K405" s="2" t="str">
        <f>HYPERLINK("https://docs.wto.org/imrd/directdoc.asp?DDFDocuments/t/G/SPS/NZAF45.DOC")</f>
        <v>https://docs.wto.org/imrd/directdoc.asp?DDFDocuments/t/G/SPS/NZAF45.DOC</v>
      </c>
      <c r="L405" s="2" t="str">
        <f>HYPERLINK("https://docs.wto.org/imrd/directdoc.asp?DDFDocuments/u/G/SPS/NZAF45.DOC")</f>
        <v>https://docs.wto.org/imrd/directdoc.asp?DDFDocuments/u/G/SPS/NZAF45.DOC</v>
      </c>
      <c r="M405" s="2" t="str">
        <f>HYPERLINK("https://docs.wto.org/imrd/directdoc.asp?DDFDocuments/v/G/SPS/NZAF45.DOC")</f>
        <v>https://docs.wto.org/imrd/directdoc.asp?DDFDocuments/v/G/SPS/NZAF45.DOC</v>
      </c>
      <c r="N405" s="2" t="str">
        <f>HYPERLINK("http://www.epingalert.org/#/details/G/SPS/N/ZAF/45")</f>
        <v>http://www.epingalert.org/#/details/G/SPS/N/ZAF/45</v>
      </c>
      <c r="O405" s="2"/>
    </row>
    <row r="406" spans="1:15" ht="240" customHeight="1" outlineLevel="1" x14ac:dyDescent="0.25">
      <c r="A406" s="2" t="s">
        <v>121</v>
      </c>
      <c r="B406" s="2" t="s">
        <v>7112</v>
      </c>
      <c r="C406" s="2" t="s">
        <v>3047</v>
      </c>
      <c r="D406" s="2" t="s">
        <v>7113</v>
      </c>
      <c r="E406" s="3">
        <v>42459</v>
      </c>
      <c r="F406" s="2" t="s">
        <v>7114</v>
      </c>
      <c r="G406" s="2" t="s">
        <v>7115</v>
      </c>
      <c r="H406" s="2" t="s">
        <v>2425</v>
      </c>
      <c r="I406" s="2" t="s">
        <v>2461</v>
      </c>
      <c r="J406" s="3">
        <v>42519</v>
      </c>
      <c r="K406" s="2" t="str">
        <f>HYPERLINK("https://docs.wto.org/imrd/directdoc.asp?DDFDocuments/t/G/SPS/NIND141.DOC")</f>
        <v>https://docs.wto.org/imrd/directdoc.asp?DDFDocuments/t/G/SPS/NIND141.DOC</v>
      </c>
      <c r="L406" s="2" t="str">
        <f>HYPERLINK("https://docs.wto.org/imrd/directdoc.asp?DDFDocuments/u/G/SPS/NIND141.DOC")</f>
        <v>https://docs.wto.org/imrd/directdoc.asp?DDFDocuments/u/G/SPS/NIND141.DOC</v>
      </c>
      <c r="M406" s="2" t="str">
        <f>HYPERLINK("https://docs.wto.org/imrd/directdoc.asp?DDFDocuments/v/G/SPS/NIND141.DOC")</f>
        <v>https://docs.wto.org/imrd/directdoc.asp?DDFDocuments/v/G/SPS/NIND141.DOC</v>
      </c>
      <c r="N406" s="2" t="str">
        <f>HYPERLINK("http://www.epingalert.org/#/details/G/SPS/N/IND/141")</f>
        <v>http://www.epingalert.org/#/details/G/SPS/N/IND/141</v>
      </c>
      <c r="O406" s="2"/>
    </row>
    <row r="407" spans="1:15" ht="240" customHeight="1" outlineLevel="1" x14ac:dyDescent="0.25">
      <c r="A407" s="2" t="s">
        <v>115</v>
      </c>
      <c r="B407" s="2" t="s">
        <v>7116</v>
      </c>
      <c r="C407" s="2" t="s">
        <v>6754</v>
      </c>
      <c r="D407" s="2" t="s">
        <v>7117</v>
      </c>
      <c r="E407" s="3">
        <v>42459</v>
      </c>
      <c r="F407" s="2" t="s">
        <v>7046</v>
      </c>
      <c r="G407" s="2" t="s">
        <v>7118</v>
      </c>
      <c r="H407" s="2" t="s">
        <v>2425</v>
      </c>
      <c r="I407" s="2" t="s">
        <v>2453</v>
      </c>
      <c r="J407" s="3">
        <v>42519</v>
      </c>
      <c r="K407" s="2" t="str">
        <f>HYPERLINK("https://docs.wto.org/imrd/directdoc.asp?DDFDocuments/t/G/SPS/NJPN455.DOC")</f>
        <v>https://docs.wto.org/imrd/directdoc.asp?DDFDocuments/t/G/SPS/NJPN455.DOC</v>
      </c>
      <c r="L407" s="2" t="str">
        <f>HYPERLINK("https://docs.wto.org/imrd/directdoc.asp?DDFDocuments/u/G/SPS/NJPN455.DOC")</f>
        <v>https://docs.wto.org/imrd/directdoc.asp?DDFDocuments/u/G/SPS/NJPN455.DOC</v>
      </c>
      <c r="M407" s="2" t="str">
        <f>HYPERLINK("https://docs.wto.org/imrd/directdoc.asp?DDFDocuments/v/G/SPS/NJPN455.DOC")</f>
        <v>https://docs.wto.org/imrd/directdoc.asp?DDFDocuments/v/G/SPS/NJPN455.DOC</v>
      </c>
      <c r="N407" s="2" t="str">
        <f>HYPERLINK("http://www.epingalert.org/#/details/G/SPS/N/JPN/455")</f>
        <v>http://www.epingalert.org/#/details/G/SPS/N/JPN/455</v>
      </c>
      <c r="O407" s="2"/>
    </row>
    <row r="408" spans="1:15" ht="240" customHeight="1" outlineLevel="1" x14ac:dyDescent="0.25">
      <c r="A408" s="2" t="s">
        <v>115</v>
      </c>
      <c r="B408" s="2" t="s">
        <v>7119</v>
      </c>
      <c r="C408" s="2" t="s">
        <v>6754</v>
      </c>
      <c r="D408" s="2" t="s">
        <v>7120</v>
      </c>
      <c r="E408" s="3">
        <v>42459</v>
      </c>
      <c r="F408" s="2" t="s">
        <v>7121</v>
      </c>
      <c r="G408" s="2" t="s">
        <v>7122</v>
      </c>
      <c r="H408" s="2" t="s">
        <v>2425</v>
      </c>
      <c r="I408" s="2" t="s">
        <v>2453</v>
      </c>
      <c r="J408" s="3">
        <v>42519</v>
      </c>
      <c r="K408" s="2" t="str">
        <f>HYPERLINK("https://docs.wto.org/imrd/directdoc.asp?DDFDocuments/t/G/SPS/NJPN454.DOC")</f>
        <v>https://docs.wto.org/imrd/directdoc.asp?DDFDocuments/t/G/SPS/NJPN454.DOC</v>
      </c>
      <c r="L408" s="2" t="str">
        <f>HYPERLINK("https://docs.wto.org/imrd/directdoc.asp?DDFDocuments/u/G/SPS/NJPN454.DOC")</f>
        <v>https://docs.wto.org/imrd/directdoc.asp?DDFDocuments/u/G/SPS/NJPN454.DOC</v>
      </c>
      <c r="M408" s="2" t="str">
        <f>HYPERLINK("https://docs.wto.org/imrd/directdoc.asp?DDFDocuments/v/G/SPS/NJPN454.DOC")</f>
        <v>https://docs.wto.org/imrd/directdoc.asp?DDFDocuments/v/G/SPS/NJPN454.DOC</v>
      </c>
      <c r="N408" s="2" t="str">
        <f>HYPERLINK("http://www.epingalert.org/#/details/G/SPS/N/JPN/454")</f>
        <v>http://www.epingalert.org/#/details/G/SPS/N/JPN/454</v>
      </c>
      <c r="O408" s="2"/>
    </row>
    <row r="409" spans="1:15" ht="240" customHeight="1" outlineLevel="1" x14ac:dyDescent="0.25">
      <c r="A409" s="2" t="s">
        <v>115</v>
      </c>
      <c r="B409" s="2" t="s">
        <v>7123</v>
      </c>
      <c r="C409" s="2" t="s">
        <v>6754</v>
      </c>
      <c r="D409" s="2" t="s">
        <v>7124</v>
      </c>
      <c r="E409" s="3">
        <v>42459</v>
      </c>
      <c r="F409" s="2" t="s">
        <v>7125</v>
      </c>
      <c r="G409" s="2" t="s">
        <v>7126</v>
      </c>
      <c r="H409" s="2" t="s">
        <v>2425</v>
      </c>
      <c r="I409" s="2" t="s">
        <v>2453</v>
      </c>
      <c r="J409" s="3">
        <v>42519</v>
      </c>
      <c r="K409" s="2" t="str">
        <f>HYPERLINK("https://docs.wto.org/imrd/directdoc.asp?DDFDocuments/t/G/SPS/NJPN452.DOC")</f>
        <v>https://docs.wto.org/imrd/directdoc.asp?DDFDocuments/t/G/SPS/NJPN452.DOC</v>
      </c>
      <c r="L409" s="2" t="str">
        <f>HYPERLINK("https://docs.wto.org/imrd/directdoc.asp?DDFDocuments/u/G/SPS/NJPN452.DOC")</f>
        <v>https://docs.wto.org/imrd/directdoc.asp?DDFDocuments/u/G/SPS/NJPN452.DOC</v>
      </c>
      <c r="M409" s="2" t="str">
        <f>HYPERLINK("https://docs.wto.org/imrd/directdoc.asp?DDFDocuments/v/G/SPS/NJPN452.DOC")</f>
        <v>https://docs.wto.org/imrd/directdoc.asp?DDFDocuments/v/G/SPS/NJPN452.DOC</v>
      </c>
      <c r="N409" s="2" t="str">
        <f>HYPERLINK("http://www.epingalert.org/#/details/G/SPS/N/JPN/452")</f>
        <v>http://www.epingalert.org/#/details/G/SPS/N/JPN/452</v>
      </c>
      <c r="O409" s="2"/>
    </row>
    <row r="410" spans="1:15" ht="240" customHeight="1" outlineLevel="1" x14ac:dyDescent="0.25">
      <c r="A410" s="2" t="s">
        <v>115</v>
      </c>
      <c r="B410" s="2" t="s">
        <v>7127</v>
      </c>
      <c r="C410" s="2" t="s">
        <v>6754</v>
      </c>
      <c r="D410" s="2" t="s">
        <v>7128</v>
      </c>
      <c r="E410" s="3">
        <v>42459</v>
      </c>
      <c r="F410" s="2" t="s">
        <v>7129</v>
      </c>
      <c r="G410" s="2" t="s">
        <v>7130</v>
      </c>
      <c r="H410" s="2" t="s">
        <v>2425</v>
      </c>
      <c r="I410" s="2" t="s">
        <v>2453</v>
      </c>
      <c r="J410" s="3">
        <v>42519</v>
      </c>
      <c r="K410" s="2" t="str">
        <f>HYPERLINK("https://docs.wto.org/imrd/directdoc.asp?DDFDocuments/t/G/SPS/NJPN453.DOC")</f>
        <v>https://docs.wto.org/imrd/directdoc.asp?DDFDocuments/t/G/SPS/NJPN453.DOC</v>
      </c>
      <c r="L410" s="2" t="str">
        <f>HYPERLINK("https://docs.wto.org/imrd/directdoc.asp?DDFDocuments/u/G/SPS/NJPN453.DOC")</f>
        <v>https://docs.wto.org/imrd/directdoc.asp?DDFDocuments/u/G/SPS/NJPN453.DOC</v>
      </c>
      <c r="M410" s="2" t="str">
        <f>HYPERLINK("https://docs.wto.org/imrd/directdoc.asp?DDFDocuments/v/G/SPS/NJPN453.DOC")</f>
        <v>https://docs.wto.org/imrd/directdoc.asp?DDFDocuments/v/G/SPS/NJPN453.DOC</v>
      </c>
      <c r="N410" s="2" t="str">
        <f>HYPERLINK("http://www.epingalert.org/#/details/G/SPS/N/JPN/453")</f>
        <v>http://www.epingalert.org/#/details/G/SPS/N/JPN/453</v>
      </c>
      <c r="O410" s="2"/>
    </row>
    <row r="411" spans="1:15" ht="240" customHeight="1" outlineLevel="1" x14ac:dyDescent="0.25">
      <c r="A411" s="2" t="s">
        <v>18</v>
      </c>
      <c r="B411" s="2" t="s">
        <v>7131</v>
      </c>
      <c r="C411" s="2" t="s">
        <v>7132</v>
      </c>
      <c r="D411" s="2" t="s">
        <v>7133</v>
      </c>
      <c r="E411" s="3">
        <v>42459</v>
      </c>
      <c r="F411" s="2" t="s">
        <v>6809</v>
      </c>
      <c r="G411" s="2" t="s">
        <v>6899</v>
      </c>
      <c r="H411" s="2" t="s">
        <v>2467</v>
      </c>
      <c r="I411" s="2" t="s">
        <v>6811</v>
      </c>
      <c r="J411" s="3">
        <v>42513</v>
      </c>
      <c r="K411" s="2" t="str">
        <f>HYPERLINK("https://docs.wto.org/imrd/directdoc.asp?DDFDocuments/t/G/SPS/NUSA2839.DOC")</f>
        <v>https://docs.wto.org/imrd/directdoc.asp?DDFDocuments/t/G/SPS/NUSA2839.DOC</v>
      </c>
      <c r="L411" s="2" t="str">
        <f>HYPERLINK("https://docs.wto.org/imrd/directdoc.asp?DDFDocuments/u/G/SPS/NUSA2839.DOC")</f>
        <v>https://docs.wto.org/imrd/directdoc.asp?DDFDocuments/u/G/SPS/NUSA2839.DOC</v>
      </c>
      <c r="M411" s="2" t="str">
        <f>HYPERLINK("https://docs.wto.org/imrd/directdoc.asp?DDFDocuments/v/G/SPS/NUSA2839.DOC")</f>
        <v>https://docs.wto.org/imrd/directdoc.asp?DDFDocuments/v/G/SPS/NUSA2839.DOC</v>
      </c>
      <c r="N411" s="2" t="str">
        <f>HYPERLINK("http://www.epingalert.org/#/details/G/SPS/N/USA/2839")</f>
        <v>http://www.epingalert.org/#/details/G/SPS/N/USA/2839</v>
      </c>
      <c r="O411" s="2"/>
    </row>
    <row r="412" spans="1:15" ht="240" customHeight="1" outlineLevel="1" x14ac:dyDescent="0.25">
      <c r="A412" s="2" t="s">
        <v>115</v>
      </c>
      <c r="B412" s="2" t="s">
        <v>2996</v>
      </c>
      <c r="C412" s="2" t="s">
        <v>2997</v>
      </c>
      <c r="D412" s="2" t="s">
        <v>2998</v>
      </c>
      <c r="E412" s="3">
        <v>42458</v>
      </c>
      <c r="F412" s="2" t="s">
        <v>2999</v>
      </c>
      <c r="G412" s="2"/>
      <c r="H412" s="2" t="s">
        <v>2425</v>
      </c>
      <c r="I412" s="2" t="s">
        <v>2426</v>
      </c>
      <c r="J412" s="2"/>
      <c r="K412" s="2" t="str">
        <f>HYPERLINK("https://docs.wto.org/imrd/directdoc.asp?DDFDocuments/t/G/SPS/NJPN451.DOC")</f>
        <v>https://docs.wto.org/imrd/directdoc.asp?DDFDocuments/t/G/SPS/NJPN451.DOC</v>
      </c>
      <c r="L412" s="2" t="str">
        <f>HYPERLINK("https://docs.wto.org/imrd/directdoc.asp?DDFDocuments/u/G/SPS/NJPN451.DOC")</f>
        <v>https://docs.wto.org/imrd/directdoc.asp?DDFDocuments/u/G/SPS/NJPN451.DOC</v>
      </c>
      <c r="M412" s="2" t="str">
        <f>HYPERLINK("https://docs.wto.org/imrd/directdoc.asp?DDFDocuments/v/G/SPS/NJPN451.DOC")</f>
        <v>https://docs.wto.org/imrd/directdoc.asp?DDFDocuments/v/G/SPS/NJPN451.DOC</v>
      </c>
      <c r="N412" s="2" t="str">
        <f>HYPERLINK("http://www.epingalert.org/#/details/G/SPS/N/JPN/451")</f>
        <v>http://www.epingalert.org/#/details/G/SPS/N/JPN/451</v>
      </c>
      <c r="O412" s="2"/>
    </row>
    <row r="413" spans="1:15" ht="240" customHeight="1" outlineLevel="1" x14ac:dyDescent="0.25">
      <c r="A413" s="2" t="s">
        <v>42</v>
      </c>
      <c r="B413" s="2" t="s">
        <v>3000</v>
      </c>
      <c r="C413" s="2" t="s">
        <v>3001</v>
      </c>
      <c r="D413" s="2" t="s">
        <v>3002</v>
      </c>
      <c r="E413" s="3">
        <v>42453</v>
      </c>
      <c r="F413" s="2" t="s">
        <v>3002</v>
      </c>
      <c r="G413" s="2"/>
      <c r="H413" s="2" t="s">
        <v>2425</v>
      </c>
      <c r="I413" s="2" t="s">
        <v>2453</v>
      </c>
      <c r="J413" s="3">
        <v>42468</v>
      </c>
      <c r="K413" s="2" t="str">
        <f>HYPERLINK("https://docs.wto.org/imrd/directdoc.asp?DDFDocuments/t/G/SPS/NBRA1113.DOC")</f>
        <v>https://docs.wto.org/imrd/directdoc.asp?DDFDocuments/t/G/SPS/NBRA1113.DOC</v>
      </c>
      <c r="L413" s="2" t="str">
        <f>HYPERLINK("https://docs.wto.org/imrd/directdoc.asp?DDFDocuments/u/G/SPS/NBRA1113.DOC")</f>
        <v>https://docs.wto.org/imrd/directdoc.asp?DDFDocuments/u/G/SPS/NBRA1113.DOC</v>
      </c>
      <c r="M413" s="2" t="str">
        <f>HYPERLINK("https://docs.wto.org/imrd/directdoc.asp?DDFDocuments/v/G/SPS/NBRA1113.DOC")</f>
        <v>https://docs.wto.org/imrd/directdoc.asp?DDFDocuments/v/G/SPS/NBRA1113.DOC</v>
      </c>
      <c r="N413" s="2" t="str">
        <f>HYPERLINK("http://www.epingalert.org/#/details/G/SPS/N/BRA/1113")</f>
        <v>http://www.epingalert.org/#/details/G/SPS/N/BRA/1113</v>
      </c>
      <c r="O413" s="2"/>
    </row>
    <row r="414" spans="1:15" ht="240" customHeight="1" outlineLevel="1" x14ac:dyDescent="0.25">
      <c r="A414" s="2" t="s">
        <v>42</v>
      </c>
      <c r="B414" s="2" t="s">
        <v>3003</v>
      </c>
      <c r="C414" s="2" t="s">
        <v>3004</v>
      </c>
      <c r="D414" s="2" t="s">
        <v>3005</v>
      </c>
      <c r="E414" s="3">
        <v>42453</v>
      </c>
      <c r="F414" s="2" t="s">
        <v>3006</v>
      </c>
      <c r="G414" s="2"/>
      <c r="H414" s="2" t="s">
        <v>2425</v>
      </c>
      <c r="I414" s="2" t="s">
        <v>2453</v>
      </c>
      <c r="J414" s="3">
        <v>42468</v>
      </c>
      <c r="K414" s="2" t="str">
        <f>HYPERLINK("https://docs.wto.org/imrd/directdoc.asp?DDFDocuments/t/G/SPS/NBRA1110.DOC")</f>
        <v>https://docs.wto.org/imrd/directdoc.asp?DDFDocuments/t/G/SPS/NBRA1110.DOC</v>
      </c>
      <c r="L414" s="2" t="str">
        <f>HYPERLINK("https://docs.wto.org/imrd/directdoc.asp?DDFDocuments/u/G/SPS/NBRA1110.DOC")</f>
        <v>https://docs.wto.org/imrd/directdoc.asp?DDFDocuments/u/G/SPS/NBRA1110.DOC</v>
      </c>
      <c r="M414" s="2" t="str">
        <f>HYPERLINK("https://docs.wto.org/imrd/directdoc.asp?DDFDocuments/v/G/SPS/NBRA1110.DOC")</f>
        <v>https://docs.wto.org/imrd/directdoc.asp?DDFDocuments/v/G/SPS/NBRA1110.DOC</v>
      </c>
      <c r="N414" s="2" t="str">
        <f>HYPERLINK("http://www.epingalert.org/#/details/G/SPS/N/BRA/1110")</f>
        <v>http://www.epingalert.org/#/details/G/SPS/N/BRA/1110</v>
      </c>
      <c r="O414" s="2"/>
    </row>
    <row r="415" spans="1:15" ht="240" customHeight="1" outlineLevel="1" x14ac:dyDescent="0.25">
      <c r="A415" s="2" t="s">
        <v>42</v>
      </c>
      <c r="B415" s="2" t="s">
        <v>3007</v>
      </c>
      <c r="C415" s="2" t="s">
        <v>3008</v>
      </c>
      <c r="D415" s="2" t="s">
        <v>3009</v>
      </c>
      <c r="E415" s="3">
        <v>42453</v>
      </c>
      <c r="F415" s="2" t="s">
        <v>3010</v>
      </c>
      <c r="G415" s="2"/>
      <c r="H415" s="2" t="s">
        <v>2425</v>
      </c>
      <c r="I415" s="2" t="s">
        <v>2453</v>
      </c>
      <c r="J415" s="3">
        <v>42468</v>
      </c>
      <c r="K415" s="2" t="str">
        <f>HYPERLINK("https://docs.wto.org/imrd/directdoc.asp?DDFDocuments/t/G/SPS/NBRA1112.DOC")</f>
        <v>https://docs.wto.org/imrd/directdoc.asp?DDFDocuments/t/G/SPS/NBRA1112.DOC</v>
      </c>
      <c r="L415" s="2" t="str">
        <f>HYPERLINK("https://docs.wto.org/imrd/directdoc.asp?DDFDocuments/u/G/SPS/NBRA1112.DOC")</f>
        <v>https://docs.wto.org/imrd/directdoc.asp?DDFDocuments/u/G/SPS/NBRA1112.DOC</v>
      </c>
      <c r="M415" s="2" t="str">
        <f>HYPERLINK("https://docs.wto.org/imrd/directdoc.asp?DDFDocuments/v/G/SPS/NBRA1112.DOC")</f>
        <v>https://docs.wto.org/imrd/directdoc.asp?DDFDocuments/v/G/SPS/NBRA1112.DOC</v>
      </c>
      <c r="N415" s="2" t="str">
        <f>HYPERLINK("http://www.epingalert.org/#/details/G/SPS/N/BRA/1112")</f>
        <v>http://www.epingalert.org/#/details/G/SPS/N/BRA/1112</v>
      </c>
      <c r="O415" s="2"/>
    </row>
    <row r="416" spans="1:15" ht="240" customHeight="1" outlineLevel="1" x14ac:dyDescent="0.25">
      <c r="A416" s="2" t="s">
        <v>42</v>
      </c>
      <c r="B416" s="2" t="s">
        <v>3011</v>
      </c>
      <c r="C416" s="2" t="s">
        <v>3012</v>
      </c>
      <c r="D416" s="2" t="s">
        <v>3013</v>
      </c>
      <c r="E416" s="3">
        <v>42452</v>
      </c>
      <c r="F416" s="2" t="s">
        <v>3013</v>
      </c>
      <c r="G416" s="2"/>
      <c r="H416" s="2" t="s">
        <v>2425</v>
      </c>
      <c r="I416" s="2" t="s">
        <v>2453</v>
      </c>
      <c r="J416" s="3">
        <v>42468</v>
      </c>
      <c r="K416" s="2" t="str">
        <f>HYPERLINK("https://docs.wto.org/imrd/directdoc.asp?DDFDocuments/t/G/SPS/NBRA1108.DOC")</f>
        <v>https://docs.wto.org/imrd/directdoc.asp?DDFDocuments/t/G/SPS/NBRA1108.DOC</v>
      </c>
      <c r="L416" s="2" t="str">
        <f>HYPERLINK("https://docs.wto.org/imrd/directdoc.asp?DDFDocuments/u/G/SPS/NBRA1108.DOC")</f>
        <v>https://docs.wto.org/imrd/directdoc.asp?DDFDocuments/u/G/SPS/NBRA1108.DOC</v>
      </c>
      <c r="M416" s="2" t="str">
        <f>HYPERLINK("https://docs.wto.org/imrd/directdoc.asp?DDFDocuments/v/G/SPS/NBRA1108.DOC")</f>
        <v>https://docs.wto.org/imrd/directdoc.asp?DDFDocuments/v/G/SPS/NBRA1108.DOC</v>
      </c>
      <c r="N416" s="2" t="str">
        <f>HYPERLINK("http://www.epingalert.org/#/details/G/SPS/N/BRA/1108")</f>
        <v>http://www.epingalert.org/#/details/G/SPS/N/BRA/1108</v>
      </c>
      <c r="O416" s="2"/>
    </row>
    <row r="417" spans="1:15" ht="240" customHeight="1" outlineLevel="1" x14ac:dyDescent="0.25">
      <c r="A417" s="2" t="s">
        <v>42</v>
      </c>
      <c r="B417" s="2" t="s">
        <v>3014</v>
      </c>
      <c r="C417" s="2" t="s">
        <v>3015</v>
      </c>
      <c r="D417" s="2" t="s">
        <v>3016</v>
      </c>
      <c r="E417" s="3">
        <v>42452</v>
      </c>
      <c r="F417" s="2" t="s">
        <v>3017</v>
      </c>
      <c r="G417" s="2"/>
      <c r="H417" s="2" t="s">
        <v>2425</v>
      </c>
      <c r="I417" s="2" t="s">
        <v>2453</v>
      </c>
      <c r="J417" s="3">
        <v>42468</v>
      </c>
      <c r="K417" s="2" t="str">
        <f>HYPERLINK("https://docs.wto.org/imrd/directdoc.asp?DDFDocuments/t/G/SPS/NBRA1109.DOC")</f>
        <v>https://docs.wto.org/imrd/directdoc.asp?DDFDocuments/t/G/SPS/NBRA1109.DOC</v>
      </c>
      <c r="L417" s="2" t="str">
        <f>HYPERLINK("https://docs.wto.org/imrd/directdoc.asp?DDFDocuments/u/G/SPS/NBRA1109.DOC")</f>
        <v>https://docs.wto.org/imrd/directdoc.asp?DDFDocuments/u/G/SPS/NBRA1109.DOC</v>
      </c>
      <c r="M417" s="2" t="str">
        <f>HYPERLINK("https://docs.wto.org/imrd/directdoc.asp?DDFDocuments/v/G/SPS/NBRA1109.DOC")</f>
        <v>https://docs.wto.org/imrd/directdoc.asp?DDFDocuments/v/G/SPS/NBRA1109.DOC</v>
      </c>
      <c r="N417" s="2" t="str">
        <f>HYPERLINK("http://www.epingalert.org/#/details/G/SPS/N/BRA/1109")</f>
        <v>http://www.epingalert.org/#/details/G/SPS/N/BRA/1109</v>
      </c>
      <c r="O417" s="2"/>
    </row>
    <row r="418" spans="1:15" ht="240" customHeight="1" outlineLevel="1" x14ac:dyDescent="0.25">
      <c r="A418" s="2" t="s">
        <v>18</v>
      </c>
      <c r="B418" s="2" t="s">
        <v>3018</v>
      </c>
      <c r="C418" s="2"/>
      <c r="D418" s="2"/>
      <c r="E418" s="3">
        <v>42450</v>
      </c>
      <c r="F418" s="2" t="s">
        <v>3019</v>
      </c>
      <c r="G418" s="2" t="s">
        <v>3020</v>
      </c>
      <c r="H418" s="2" t="s">
        <v>2573</v>
      </c>
      <c r="I418" s="2" t="s">
        <v>2444</v>
      </c>
      <c r="J418" s="2"/>
      <c r="K418" s="2" t="str">
        <f>HYPERLINK("https://docs.wto.org/imrd/directdoc.asp?DDFDocuments/t/G/SPS/NUSA933A5.DOC")</f>
        <v>https://docs.wto.org/imrd/directdoc.asp?DDFDocuments/t/G/SPS/NUSA933A5.DOC</v>
      </c>
      <c r="L418" s="2" t="str">
        <f>HYPERLINK("https://docs.wto.org/imrd/directdoc.asp?DDFDocuments/u/G/SPS/NUSA933A5.DOC")</f>
        <v>https://docs.wto.org/imrd/directdoc.asp?DDFDocuments/u/G/SPS/NUSA933A5.DOC</v>
      </c>
      <c r="M418" s="2" t="str">
        <f>HYPERLINK("https://docs.wto.org/imrd/directdoc.asp?DDFDocuments/v/G/SPS/NUSA933A5.DOC")</f>
        <v>https://docs.wto.org/imrd/directdoc.asp?DDFDocuments/v/G/SPS/NUSA933A5.DOC</v>
      </c>
      <c r="N418" s="2" t="str">
        <f>HYPERLINK("http://www.epingalert.org/#/details/G/SPS/N/USA/933/Add.5")</f>
        <v>http://www.epingalert.org/#/details/G/SPS/N/USA/933/Add.5</v>
      </c>
      <c r="O418" s="2"/>
    </row>
    <row r="419" spans="1:15" ht="240" customHeight="1" outlineLevel="1" x14ac:dyDescent="0.25">
      <c r="A419" s="2" t="s">
        <v>121</v>
      </c>
      <c r="B419" s="2" t="s">
        <v>7134</v>
      </c>
      <c r="C419" s="2" t="s">
        <v>3047</v>
      </c>
      <c r="D419" s="2" t="s">
        <v>7135</v>
      </c>
      <c r="E419" s="3">
        <v>42445</v>
      </c>
      <c r="F419" s="2" t="s">
        <v>7136</v>
      </c>
      <c r="G419" s="2" t="s">
        <v>7137</v>
      </c>
      <c r="H419" s="2" t="s">
        <v>2425</v>
      </c>
      <c r="I419" s="2" t="s">
        <v>2426</v>
      </c>
      <c r="J419" s="3">
        <v>42505</v>
      </c>
      <c r="K419" s="2" t="str">
        <f>HYPERLINK("https://docs.wto.org/imrd/directdoc.asp?DDFDocuments/t/G/SPS/NIND133.DOC")</f>
        <v>https://docs.wto.org/imrd/directdoc.asp?DDFDocuments/t/G/SPS/NIND133.DOC</v>
      </c>
      <c r="L419" s="2" t="str">
        <f>HYPERLINK("https://docs.wto.org/imrd/directdoc.asp?DDFDocuments/u/G/SPS/NIND133.DOC")</f>
        <v>https://docs.wto.org/imrd/directdoc.asp?DDFDocuments/u/G/SPS/NIND133.DOC</v>
      </c>
      <c r="M419" s="2" t="str">
        <f>HYPERLINK("https://docs.wto.org/imrd/directdoc.asp?DDFDocuments/v/G/SPS/NIND133.DOC")</f>
        <v>https://docs.wto.org/imrd/directdoc.asp?DDFDocuments/v/G/SPS/NIND133.DOC</v>
      </c>
      <c r="N419" s="2" t="str">
        <f>HYPERLINK("http://www.epingalert.org/#/details/G/SPS/N/IND/133")</f>
        <v>http://www.epingalert.org/#/details/G/SPS/N/IND/133</v>
      </c>
      <c r="O419" s="2"/>
    </row>
    <row r="420" spans="1:15" ht="240" customHeight="1" outlineLevel="1" x14ac:dyDescent="0.25">
      <c r="A420" s="2" t="s">
        <v>121</v>
      </c>
      <c r="B420" s="2" t="s">
        <v>7138</v>
      </c>
      <c r="C420" s="2" t="s">
        <v>3047</v>
      </c>
      <c r="D420" s="2" t="s">
        <v>7139</v>
      </c>
      <c r="E420" s="3">
        <v>42445</v>
      </c>
      <c r="F420" s="2" t="s">
        <v>7140</v>
      </c>
      <c r="G420" s="2" t="s">
        <v>3281</v>
      </c>
      <c r="H420" s="2" t="s">
        <v>2425</v>
      </c>
      <c r="I420" s="2" t="s">
        <v>2426</v>
      </c>
      <c r="J420" s="3">
        <v>42505</v>
      </c>
      <c r="K420" s="2" t="str">
        <f>HYPERLINK("https://docs.wto.org/imrd/directdoc.asp?DDFDocuments/t/G/SPS/NIND132.DOC")</f>
        <v>https://docs.wto.org/imrd/directdoc.asp?DDFDocuments/t/G/SPS/NIND132.DOC</v>
      </c>
      <c r="L420" s="2" t="str">
        <f>HYPERLINK("https://docs.wto.org/imrd/directdoc.asp?DDFDocuments/u/G/SPS/NIND132.DOC")</f>
        <v>https://docs.wto.org/imrd/directdoc.asp?DDFDocuments/u/G/SPS/NIND132.DOC</v>
      </c>
      <c r="M420" s="2" t="str">
        <f>HYPERLINK("https://docs.wto.org/imrd/directdoc.asp?DDFDocuments/v/G/SPS/NIND132.DOC")</f>
        <v>https://docs.wto.org/imrd/directdoc.asp?DDFDocuments/v/G/SPS/NIND132.DOC</v>
      </c>
      <c r="N420" s="2" t="str">
        <f>HYPERLINK("http://www.epingalert.org/#/details/G/SPS/N/IND/132")</f>
        <v>http://www.epingalert.org/#/details/G/SPS/N/IND/132</v>
      </c>
      <c r="O420" s="2"/>
    </row>
    <row r="421" spans="1:15" ht="240" customHeight="1" outlineLevel="1" x14ac:dyDescent="0.25">
      <c r="A421" s="2" t="s">
        <v>6732</v>
      </c>
      <c r="B421" s="2" t="s">
        <v>7141</v>
      </c>
      <c r="C421" s="2"/>
      <c r="D421" s="2"/>
      <c r="E421" s="3">
        <v>42444</v>
      </c>
      <c r="F421" s="2"/>
      <c r="G421" s="2" t="s">
        <v>7142</v>
      </c>
      <c r="H421" s="2" t="s">
        <v>2573</v>
      </c>
      <c r="I421" s="2" t="s">
        <v>2444</v>
      </c>
      <c r="J421" s="2"/>
      <c r="K421" s="2" t="str">
        <f>HYPERLINK("https://docs.wto.org/imrd/directdoc.asp?DDFDocuments/t/G/SPS/NCOL252A1.DOC")</f>
        <v>https://docs.wto.org/imrd/directdoc.asp?DDFDocuments/t/G/SPS/NCOL252A1.DOC</v>
      </c>
      <c r="L421" s="2" t="str">
        <f>HYPERLINK("https://docs.wto.org/imrd/directdoc.asp?DDFDocuments/u/G/SPS/NCOL252A1.DOC")</f>
        <v>https://docs.wto.org/imrd/directdoc.asp?DDFDocuments/u/G/SPS/NCOL252A1.DOC</v>
      </c>
      <c r="M421" s="2" t="str">
        <f>HYPERLINK("https://docs.wto.org/imrd/directdoc.asp?DDFDocuments/v/G/SPS/NCOL252A1.DOC")</f>
        <v>https://docs.wto.org/imrd/directdoc.asp?DDFDocuments/v/G/SPS/NCOL252A1.DOC</v>
      </c>
      <c r="N421" s="2" t="str">
        <f>HYPERLINK("http://www.epingalert.org/#/details/G/SPS/N/COL/252/Add.1")</f>
        <v>http://www.epingalert.org/#/details/G/SPS/N/COL/252/Add.1</v>
      </c>
      <c r="O421" s="2"/>
    </row>
    <row r="422" spans="1:15" ht="240" customHeight="1" outlineLevel="1" x14ac:dyDescent="0.25">
      <c r="A422" s="2" t="s">
        <v>225</v>
      </c>
      <c r="B422" s="2" t="s">
        <v>3021</v>
      </c>
      <c r="C422" s="2" t="s">
        <v>3022</v>
      </c>
      <c r="D422" s="2" t="s">
        <v>2494</v>
      </c>
      <c r="E422" s="3">
        <v>42443</v>
      </c>
      <c r="F422" s="2" t="s">
        <v>2430</v>
      </c>
      <c r="G422" s="2"/>
      <c r="H422" s="2" t="s">
        <v>2425</v>
      </c>
      <c r="I422" s="2" t="s">
        <v>2431</v>
      </c>
      <c r="J422" s="3">
        <v>42506</v>
      </c>
      <c r="K422" s="2" t="str">
        <f>HYPERLINK("https://docs.wto.org/imrd/directdoc.asp?DDFDocuments/t/G/SPS/NAUS382.DOC")</f>
        <v>https://docs.wto.org/imrd/directdoc.asp?DDFDocuments/t/G/SPS/NAUS382.DOC</v>
      </c>
      <c r="L422" s="2" t="str">
        <f>HYPERLINK("https://docs.wto.org/imrd/directdoc.asp?DDFDocuments/u/G/SPS/NAUS382.DOC")</f>
        <v>https://docs.wto.org/imrd/directdoc.asp?DDFDocuments/u/G/SPS/NAUS382.DOC</v>
      </c>
      <c r="M422" s="2" t="str">
        <f>HYPERLINK("https://docs.wto.org/imrd/directdoc.asp?DDFDocuments/v/G/SPS/NAUS382.DOC")</f>
        <v>https://docs.wto.org/imrd/directdoc.asp?DDFDocuments/v/G/SPS/NAUS382.DOC</v>
      </c>
      <c r="N422" s="2" t="str">
        <f>HYPERLINK("http://www.epingalert.org/#/details/G/SPS/N/AUS/382")</f>
        <v>http://www.epingalert.org/#/details/G/SPS/N/AUS/382</v>
      </c>
      <c r="O422" s="2"/>
    </row>
    <row r="423" spans="1:15" ht="240" customHeight="1" outlineLevel="1" x14ac:dyDescent="0.25">
      <c r="A423" s="2" t="s">
        <v>12</v>
      </c>
      <c r="B423" s="2" t="s">
        <v>3023</v>
      </c>
      <c r="C423" s="2" t="s">
        <v>3024</v>
      </c>
      <c r="D423" s="2" t="s">
        <v>3025</v>
      </c>
      <c r="E423" s="3">
        <v>42443</v>
      </c>
      <c r="F423" s="2" t="s">
        <v>2451</v>
      </c>
      <c r="G423" s="2" t="s">
        <v>3026</v>
      </c>
      <c r="H423" s="2" t="s">
        <v>2425</v>
      </c>
      <c r="I423" s="2" t="s">
        <v>2453</v>
      </c>
      <c r="J423" s="3">
        <v>42503</v>
      </c>
      <c r="K423" s="2" t="str">
        <f>HYPERLINK("https://docs.wto.org/imrd/directdoc.asp?DDFDocuments/t/G/SPS/NEU158.DOC")</f>
        <v>https://docs.wto.org/imrd/directdoc.asp?DDFDocuments/t/G/SPS/NEU158.DOC</v>
      </c>
      <c r="L423" s="2" t="str">
        <f>HYPERLINK("https://docs.wto.org/imrd/directdoc.asp?DDFDocuments/u/G/SPS/NEU158.DOC")</f>
        <v>https://docs.wto.org/imrd/directdoc.asp?DDFDocuments/u/G/SPS/NEU158.DOC</v>
      </c>
      <c r="M423" s="2" t="str">
        <f>HYPERLINK("https://docs.wto.org/imrd/directdoc.asp?DDFDocuments/v/G/SPS/NEU158.DOC")</f>
        <v>https://docs.wto.org/imrd/directdoc.asp?DDFDocuments/v/G/SPS/NEU158.DOC</v>
      </c>
      <c r="N423" s="2" t="str">
        <f>HYPERLINK("http://www.epingalert.org/#/details/G/SPS/N/EU/158")</f>
        <v>http://www.epingalert.org/#/details/G/SPS/N/EU/158</v>
      </c>
      <c r="O423" s="2"/>
    </row>
    <row r="424" spans="1:15" ht="240" customHeight="1" outlineLevel="1" x14ac:dyDescent="0.25">
      <c r="A424" s="2" t="s">
        <v>12</v>
      </c>
      <c r="B424" s="2" t="s">
        <v>3027</v>
      </c>
      <c r="C424" s="2" t="s">
        <v>3028</v>
      </c>
      <c r="D424" s="2" t="s">
        <v>3029</v>
      </c>
      <c r="E424" s="3">
        <v>42443</v>
      </c>
      <c r="F424" s="2" t="s">
        <v>3030</v>
      </c>
      <c r="G424" s="2" t="s">
        <v>2608</v>
      </c>
      <c r="H424" s="2" t="s">
        <v>2425</v>
      </c>
      <c r="I424" s="2" t="s">
        <v>2597</v>
      </c>
      <c r="J424" s="3">
        <v>42503</v>
      </c>
      <c r="K424" s="2" t="str">
        <f>HYPERLINK("https://docs.wto.org/imrd/directdoc.asp?DDFDocuments/t/G/SPS/NEU159.DOC")</f>
        <v>https://docs.wto.org/imrd/directdoc.asp?DDFDocuments/t/G/SPS/NEU159.DOC</v>
      </c>
      <c r="L424" s="2" t="str">
        <f>HYPERLINK("https://docs.wto.org/imrd/directdoc.asp?DDFDocuments/u/G/SPS/NEU159.DOC")</f>
        <v>https://docs.wto.org/imrd/directdoc.asp?DDFDocuments/u/G/SPS/NEU159.DOC</v>
      </c>
      <c r="M424" s="2" t="str">
        <f>HYPERLINK("https://docs.wto.org/imrd/directdoc.asp?DDFDocuments/v/G/SPS/NEU159.DOC")</f>
        <v>https://docs.wto.org/imrd/directdoc.asp?DDFDocuments/v/G/SPS/NEU159.DOC</v>
      </c>
      <c r="N424" s="2" t="str">
        <f>HYPERLINK("http://www.epingalert.org/#/details/G/SPS/N/EU/159")</f>
        <v>http://www.epingalert.org/#/details/G/SPS/N/EU/159</v>
      </c>
      <c r="O424" s="2"/>
    </row>
    <row r="425" spans="1:15" ht="240" customHeight="1" outlineLevel="1" x14ac:dyDescent="0.25">
      <c r="A425" s="2" t="s">
        <v>42</v>
      </c>
      <c r="B425" s="2" t="s">
        <v>3031</v>
      </c>
      <c r="C425" s="2" t="s">
        <v>3032</v>
      </c>
      <c r="D425" s="2" t="s">
        <v>3033</v>
      </c>
      <c r="E425" s="3">
        <v>42437</v>
      </c>
      <c r="F425" s="2" t="s">
        <v>3034</v>
      </c>
      <c r="G425" s="2"/>
      <c r="H425" s="2" t="s">
        <v>2425</v>
      </c>
      <c r="I425" s="2" t="s">
        <v>2453</v>
      </c>
      <c r="J425" s="3">
        <v>42459</v>
      </c>
      <c r="K425" s="2" t="str">
        <f>HYPERLINK("https://docs.wto.org/imrd/directdoc.asp?DDFDocuments/t/G/SPS/NBRA1105.DOC")</f>
        <v>https://docs.wto.org/imrd/directdoc.asp?DDFDocuments/t/G/SPS/NBRA1105.DOC</v>
      </c>
      <c r="L425" s="2" t="str">
        <f>HYPERLINK("https://docs.wto.org/imrd/directdoc.asp?DDFDocuments/u/G/SPS/NBRA1105.DOC")</f>
        <v>https://docs.wto.org/imrd/directdoc.asp?DDFDocuments/u/G/SPS/NBRA1105.DOC</v>
      </c>
      <c r="M425" s="2" t="str">
        <f>HYPERLINK("https://docs.wto.org/imrd/directdoc.asp?DDFDocuments/v/G/SPS/NBRA1105.DOC")</f>
        <v>https://docs.wto.org/imrd/directdoc.asp?DDFDocuments/v/G/SPS/NBRA1105.DOC</v>
      </c>
      <c r="N425" s="2" t="str">
        <f>HYPERLINK("http://www.epingalert.org/#/details/G/SPS/N/BRA/1105")</f>
        <v>http://www.epingalert.org/#/details/G/SPS/N/BRA/1105</v>
      </c>
      <c r="O425" s="2"/>
    </row>
    <row r="426" spans="1:15" ht="240" customHeight="1" outlineLevel="1" x14ac:dyDescent="0.25">
      <c r="A426" s="2" t="s">
        <v>42</v>
      </c>
      <c r="B426" s="2" t="s">
        <v>3035</v>
      </c>
      <c r="C426" s="2" t="s">
        <v>3036</v>
      </c>
      <c r="D426" s="2" t="s">
        <v>3037</v>
      </c>
      <c r="E426" s="3">
        <v>42437</v>
      </c>
      <c r="F426" s="2" t="s">
        <v>3038</v>
      </c>
      <c r="G426" s="2"/>
      <c r="H426" s="2" t="s">
        <v>2425</v>
      </c>
      <c r="I426" s="2" t="s">
        <v>2453</v>
      </c>
      <c r="J426" s="3">
        <v>42459</v>
      </c>
      <c r="K426" s="2" t="str">
        <f>HYPERLINK("https://docs.wto.org/imrd/directdoc.asp?DDFDocuments/t/G/SPS/NBRA1106.DOC")</f>
        <v>https://docs.wto.org/imrd/directdoc.asp?DDFDocuments/t/G/SPS/NBRA1106.DOC</v>
      </c>
      <c r="L426" s="2" t="str">
        <f>HYPERLINK("https://docs.wto.org/imrd/directdoc.asp?DDFDocuments/u/G/SPS/NBRA1106.DOC")</f>
        <v>https://docs.wto.org/imrd/directdoc.asp?DDFDocuments/u/G/SPS/NBRA1106.DOC</v>
      </c>
      <c r="M426" s="2" t="str">
        <f>HYPERLINK("https://docs.wto.org/imrd/directdoc.asp?DDFDocuments/v/G/SPS/NBRA1106.DOC")</f>
        <v>https://docs.wto.org/imrd/directdoc.asp?DDFDocuments/v/G/SPS/NBRA1106.DOC</v>
      </c>
      <c r="N426" s="2" t="str">
        <f>HYPERLINK("http://www.epingalert.org/#/details/G/SPS/N/BRA/1106")</f>
        <v>http://www.epingalert.org/#/details/G/SPS/N/BRA/1106</v>
      </c>
      <c r="O426" s="2"/>
    </row>
    <row r="427" spans="1:15" ht="240" customHeight="1" outlineLevel="1" x14ac:dyDescent="0.25">
      <c r="A427" s="2" t="s">
        <v>42</v>
      </c>
      <c r="B427" s="2" t="s">
        <v>3039</v>
      </c>
      <c r="C427" s="2" t="s">
        <v>3040</v>
      </c>
      <c r="D427" s="2" t="s">
        <v>3041</v>
      </c>
      <c r="E427" s="3">
        <v>42437</v>
      </c>
      <c r="F427" s="2" t="s">
        <v>3042</v>
      </c>
      <c r="G427" s="2"/>
      <c r="H427" s="2" t="s">
        <v>2425</v>
      </c>
      <c r="I427" s="2" t="s">
        <v>2453</v>
      </c>
      <c r="J427" s="3">
        <v>42459</v>
      </c>
      <c r="K427" s="2" t="str">
        <f>HYPERLINK("https://docs.wto.org/imrd/directdoc.asp?DDFDocuments/t/G/SPS/NBRA1104.DOC")</f>
        <v>https://docs.wto.org/imrd/directdoc.asp?DDFDocuments/t/G/SPS/NBRA1104.DOC</v>
      </c>
      <c r="L427" s="2" t="str">
        <f>HYPERLINK("https://docs.wto.org/imrd/directdoc.asp?DDFDocuments/u/G/SPS/NBRA1104.DOC")</f>
        <v>https://docs.wto.org/imrd/directdoc.asp?DDFDocuments/u/G/SPS/NBRA1104.DOC</v>
      </c>
      <c r="M427" s="2" t="str">
        <f>HYPERLINK("https://docs.wto.org/imrd/directdoc.asp?DDFDocuments/v/G/SPS/NBRA1104.DOC")</f>
        <v>https://docs.wto.org/imrd/directdoc.asp?DDFDocuments/v/G/SPS/NBRA1104.DOC</v>
      </c>
      <c r="N427" s="2" t="str">
        <f>HYPERLINK("http://www.epingalert.org/#/details/G/SPS/N/BRA/1104")</f>
        <v>http://www.epingalert.org/#/details/G/SPS/N/BRA/1104</v>
      </c>
      <c r="O427" s="2"/>
    </row>
    <row r="428" spans="1:15" ht="240" customHeight="1" outlineLevel="1" x14ac:dyDescent="0.25">
      <c r="A428" s="2" t="s">
        <v>42</v>
      </c>
      <c r="B428" s="2" t="s">
        <v>3043</v>
      </c>
      <c r="C428" s="2" t="s">
        <v>3044</v>
      </c>
      <c r="D428" s="2" t="s">
        <v>3045</v>
      </c>
      <c r="E428" s="3">
        <v>42437</v>
      </c>
      <c r="F428" s="2" t="s">
        <v>3045</v>
      </c>
      <c r="G428" s="2"/>
      <c r="H428" s="2" t="s">
        <v>2425</v>
      </c>
      <c r="I428" s="2" t="s">
        <v>2453</v>
      </c>
      <c r="J428" s="3">
        <v>42459</v>
      </c>
      <c r="K428" s="2" t="str">
        <f>HYPERLINK("https://docs.wto.org/imrd/directdoc.asp?DDFDocuments/t/G/SPS/NBRA1107.DOC")</f>
        <v>https://docs.wto.org/imrd/directdoc.asp?DDFDocuments/t/G/SPS/NBRA1107.DOC</v>
      </c>
      <c r="L428" s="2" t="str">
        <f>HYPERLINK("https://docs.wto.org/imrd/directdoc.asp?DDFDocuments/u/G/SPS/NBRA1107.DOC")</f>
        <v>https://docs.wto.org/imrd/directdoc.asp?DDFDocuments/u/G/SPS/NBRA1107.DOC</v>
      </c>
      <c r="M428" s="2" t="str">
        <f>HYPERLINK("https://docs.wto.org/imrd/directdoc.asp?DDFDocuments/v/G/SPS/NBRA1107.DOC")</f>
        <v>https://docs.wto.org/imrd/directdoc.asp?DDFDocuments/v/G/SPS/NBRA1107.DOC</v>
      </c>
      <c r="N428" s="2" t="str">
        <f>HYPERLINK("http://www.epingalert.org/#/details/G/SPS/N/BRA/1107")</f>
        <v>http://www.epingalert.org/#/details/G/SPS/N/BRA/1107</v>
      </c>
      <c r="O428" s="2"/>
    </row>
    <row r="429" spans="1:15" ht="240" customHeight="1" outlineLevel="1" x14ac:dyDescent="0.25">
      <c r="A429" s="2" t="s">
        <v>18</v>
      </c>
      <c r="B429" s="2" t="s">
        <v>7144</v>
      </c>
      <c r="C429" s="2"/>
      <c r="D429" s="2"/>
      <c r="E429" s="3">
        <v>42431</v>
      </c>
      <c r="F429" s="2" t="s">
        <v>7093</v>
      </c>
      <c r="G429" s="2" t="s">
        <v>7145</v>
      </c>
      <c r="H429" s="2" t="s">
        <v>2425</v>
      </c>
      <c r="I429" s="2" t="s">
        <v>2444</v>
      </c>
      <c r="J429" s="2"/>
      <c r="K429" s="2" t="str">
        <f>HYPERLINK("https://docs.wto.org/imrd/directdoc.asp?DDFDocuments/t/G/SPS/NUSA2728A2.DOC")</f>
        <v>https://docs.wto.org/imrd/directdoc.asp?DDFDocuments/t/G/SPS/NUSA2728A2.DOC</v>
      </c>
      <c r="L429" s="2" t="str">
        <f>HYPERLINK("https://docs.wto.org/imrd/directdoc.asp?DDFDocuments/u/G/SPS/NUSA2728A2.DOC")</f>
        <v>https://docs.wto.org/imrd/directdoc.asp?DDFDocuments/u/G/SPS/NUSA2728A2.DOC</v>
      </c>
      <c r="M429" s="2" t="str">
        <f>HYPERLINK("https://docs.wto.org/imrd/directdoc.asp?DDFDocuments/v/G/SPS/NUSA2728A2.DOC")</f>
        <v>https://docs.wto.org/imrd/directdoc.asp?DDFDocuments/v/G/SPS/NUSA2728A2.DOC</v>
      </c>
      <c r="N429" s="2" t="str">
        <f>HYPERLINK("http://www.epingalert.org/#/details/G/SPS/N/USA/2728/Add.2")</f>
        <v>http://www.epingalert.org/#/details/G/SPS/N/USA/2728/Add.2</v>
      </c>
      <c r="O429" s="2"/>
    </row>
    <row r="430" spans="1:15" ht="240" customHeight="1" outlineLevel="1" x14ac:dyDescent="0.25">
      <c r="A430" s="2" t="s">
        <v>18</v>
      </c>
      <c r="B430" s="2" t="s">
        <v>7146</v>
      </c>
      <c r="C430" s="2"/>
      <c r="D430" s="2"/>
      <c r="E430" s="3">
        <v>42431</v>
      </c>
      <c r="F430" s="2" t="s">
        <v>7147</v>
      </c>
      <c r="G430" s="2" t="s">
        <v>7148</v>
      </c>
      <c r="H430" s="2" t="s">
        <v>2467</v>
      </c>
      <c r="I430" s="2" t="s">
        <v>7149</v>
      </c>
      <c r="J430" s="2"/>
      <c r="K430" s="2" t="str">
        <f>HYPERLINK("https://docs.wto.org/imrd/directdoc.asp?DDFDocuments/t/G/SPS/NUSA2782A1.DOC")</f>
        <v>https://docs.wto.org/imrd/directdoc.asp?DDFDocuments/t/G/SPS/NUSA2782A1.DOC</v>
      </c>
      <c r="L430" s="2" t="str">
        <f>HYPERLINK("https://docs.wto.org/imrd/directdoc.asp?DDFDocuments/u/G/SPS/NUSA2782A1.DOC")</f>
        <v>https://docs.wto.org/imrd/directdoc.asp?DDFDocuments/u/G/SPS/NUSA2782A1.DOC</v>
      </c>
      <c r="M430" s="2" t="str">
        <f>HYPERLINK("https://docs.wto.org/imrd/directdoc.asp?DDFDocuments/v/G/SPS/NUSA2782A1.DOC")</f>
        <v>https://docs.wto.org/imrd/directdoc.asp?DDFDocuments/v/G/SPS/NUSA2782A1.DOC</v>
      </c>
      <c r="N430" s="2" t="str">
        <f>HYPERLINK("http://www.epingalert.org/#/details/G/SPS/N/USA/2782/Add.1")</f>
        <v>http://www.epingalert.org/#/details/G/SPS/N/USA/2782/Add.1</v>
      </c>
      <c r="O430" s="2"/>
    </row>
    <row r="431" spans="1:15" ht="240" customHeight="1" outlineLevel="1" x14ac:dyDescent="0.25">
      <c r="A431" s="2" t="s">
        <v>121</v>
      </c>
      <c r="B431" s="2" t="s">
        <v>3046</v>
      </c>
      <c r="C431" s="2" t="s">
        <v>3047</v>
      </c>
      <c r="D431" s="2" t="s">
        <v>3048</v>
      </c>
      <c r="E431" s="3">
        <v>42429</v>
      </c>
      <c r="F431" s="2" t="s">
        <v>2555</v>
      </c>
      <c r="G431" s="2" t="s">
        <v>3049</v>
      </c>
      <c r="H431" s="2" t="s">
        <v>2425</v>
      </c>
      <c r="I431" s="2" t="s">
        <v>2548</v>
      </c>
      <c r="J431" s="3">
        <v>42489</v>
      </c>
      <c r="K431" s="2" t="str">
        <f>HYPERLINK("https://docs.wto.org/imrd/directdoc.asp?DDFDocuments/t/G/SPS/NIND130.DOC")</f>
        <v>https://docs.wto.org/imrd/directdoc.asp?DDFDocuments/t/G/SPS/NIND130.DOC</v>
      </c>
      <c r="L431" s="2" t="str">
        <f>HYPERLINK("https://docs.wto.org/imrd/directdoc.asp?DDFDocuments/u/G/SPS/NIND130.DOC")</f>
        <v>https://docs.wto.org/imrd/directdoc.asp?DDFDocuments/u/G/SPS/NIND130.DOC</v>
      </c>
      <c r="M431" s="2" t="str">
        <f>HYPERLINK("https://docs.wto.org/imrd/directdoc.asp?DDFDocuments/v/G/SPS/NIND130.DOC")</f>
        <v>https://docs.wto.org/imrd/directdoc.asp?DDFDocuments/v/G/SPS/NIND130.DOC</v>
      </c>
      <c r="N431" s="2" t="str">
        <f>HYPERLINK("http://www.epingalert.org/#/details/G/SPS/N/IND/130")</f>
        <v>http://www.epingalert.org/#/details/G/SPS/N/IND/130</v>
      </c>
      <c r="O431" s="2"/>
    </row>
    <row r="432" spans="1:15" ht="240" customHeight="1" outlineLevel="1" x14ac:dyDescent="0.25">
      <c r="A432" s="2" t="s">
        <v>128</v>
      </c>
      <c r="B432" s="2" t="s">
        <v>7150</v>
      </c>
      <c r="C432" s="2"/>
      <c r="D432" s="2"/>
      <c r="E432" s="3">
        <v>42429</v>
      </c>
      <c r="F432" s="2"/>
      <c r="G432" s="2" t="s">
        <v>7151</v>
      </c>
      <c r="H432" s="2" t="s">
        <v>6741</v>
      </c>
      <c r="I432" s="2" t="s">
        <v>7152</v>
      </c>
      <c r="J432" s="2"/>
      <c r="K432" s="2" t="str">
        <f>HYPERLINK("https://docs.wto.org/imrd/directdoc.asp?DDFDocuments/t/G/SPS/NPER638.DOC")</f>
        <v>https://docs.wto.org/imrd/directdoc.asp?DDFDocuments/t/G/SPS/NPER638.DOC</v>
      </c>
      <c r="L432" s="2" t="str">
        <f>HYPERLINK("https://docs.wto.org/imrd/directdoc.asp?DDFDocuments/u/G/SPS/NPER638.DOC")</f>
        <v>https://docs.wto.org/imrd/directdoc.asp?DDFDocuments/u/G/SPS/NPER638.DOC</v>
      </c>
      <c r="M432" s="2" t="str">
        <f>HYPERLINK("https://docs.wto.org/imrd/directdoc.asp?DDFDocuments/v/G/SPS/NPER638.DOC")</f>
        <v>https://docs.wto.org/imrd/directdoc.asp?DDFDocuments/v/G/SPS/NPER638.DOC</v>
      </c>
      <c r="N432" s="2" t="str">
        <f>HYPERLINK("http://www.epingalert.org/#/details/G/SPS/N/PER/638")</f>
        <v>http://www.epingalert.org/#/details/G/SPS/N/PER/638</v>
      </c>
      <c r="O432" s="2"/>
    </row>
    <row r="433" spans="1:15" ht="240" customHeight="1" outlineLevel="1" x14ac:dyDescent="0.25">
      <c r="A433" s="2" t="s">
        <v>191</v>
      </c>
      <c r="B433" s="2" t="s">
        <v>7153</v>
      </c>
      <c r="C433" s="2"/>
      <c r="D433" s="2"/>
      <c r="E433" s="3">
        <v>42429</v>
      </c>
      <c r="F433" s="2"/>
      <c r="G433" s="2" t="s">
        <v>7154</v>
      </c>
      <c r="H433" s="2" t="s">
        <v>2467</v>
      </c>
      <c r="I433" s="2" t="s">
        <v>2713</v>
      </c>
      <c r="J433" s="2"/>
      <c r="K433" s="2" t="str">
        <f>HYPERLINK("https://docs.wto.org/imrd/directdoc.asp?DDFDocuments/t/G/SPS/NGTM62.DOC")</f>
        <v>https://docs.wto.org/imrd/directdoc.asp?DDFDocuments/t/G/SPS/NGTM62.DOC</v>
      </c>
      <c r="L433" s="2" t="str">
        <f>HYPERLINK("https://docs.wto.org/imrd/directdoc.asp?DDFDocuments/u/G/SPS/NGTM62.DOC")</f>
        <v>https://docs.wto.org/imrd/directdoc.asp?DDFDocuments/u/G/SPS/NGTM62.DOC</v>
      </c>
      <c r="M433" s="2" t="str">
        <f>HYPERLINK("https://docs.wto.org/imrd/directdoc.asp?DDFDocuments/v/G/SPS/NGTM62.DOC")</f>
        <v>https://docs.wto.org/imrd/directdoc.asp?DDFDocuments/v/G/SPS/NGTM62.DOC</v>
      </c>
      <c r="N433" s="2" t="str">
        <f>HYPERLINK("http://www.epingalert.org/#/details/G/SPS/N/GTM/62")</f>
        <v>http://www.epingalert.org/#/details/G/SPS/N/GTM/62</v>
      </c>
      <c r="O433" s="2"/>
    </row>
    <row r="434" spans="1:15" ht="240" customHeight="1" outlineLevel="1" x14ac:dyDescent="0.25">
      <c r="A434" s="2" t="s">
        <v>18</v>
      </c>
      <c r="B434" s="2" t="s">
        <v>3050</v>
      </c>
      <c r="C434" s="2"/>
      <c r="D434" s="2"/>
      <c r="E434" s="3">
        <v>42425</v>
      </c>
      <c r="F434" s="2" t="s">
        <v>2836</v>
      </c>
      <c r="G434" s="2" t="s">
        <v>2837</v>
      </c>
      <c r="H434" s="2" t="s">
        <v>2425</v>
      </c>
      <c r="I434" s="2" t="s">
        <v>2672</v>
      </c>
      <c r="J434" s="3">
        <v>42493</v>
      </c>
      <c r="K434" s="2" t="str">
        <f>HYPERLINK("https://docs.wto.org/imrd/directdoc.asp?DDFDocuments/t/G/SPS/NUSA2810A1.DOC")</f>
        <v>https://docs.wto.org/imrd/directdoc.asp?DDFDocuments/t/G/SPS/NUSA2810A1.DOC</v>
      </c>
      <c r="L434" s="2" t="str">
        <f>HYPERLINK("https://docs.wto.org/imrd/directdoc.asp?DDFDocuments/u/G/SPS/NUSA2810A1.DOC")</f>
        <v>https://docs.wto.org/imrd/directdoc.asp?DDFDocuments/u/G/SPS/NUSA2810A1.DOC</v>
      </c>
      <c r="M434" s="2" t="str">
        <f>HYPERLINK("https://docs.wto.org/imrd/directdoc.asp?DDFDocuments/v/G/SPS/NUSA2810A1.DOC")</f>
        <v>https://docs.wto.org/imrd/directdoc.asp?DDFDocuments/v/G/SPS/NUSA2810A1.DOC</v>
      </c>
      <c r="N434" s="2" t="str">
        <f>HYPERLINK("http://www.epingalert.org/#/details/G/SPS/N/USA/2810/Add.1")</f>
        <v>http://www.epingalert.org/#/details/G/SPS/N/USA/2810/Add.1</v>
      </c>
      <c r="O434" s="2"/>
    </row>
    <row r="435" spans="1:15" ht="240" customHeight="1" outlineLevel="1" x14ac:dyDescent="0.25">
      <c r="A435" s="2" t="s">
        <v>77</v>
      </c>
      <c r="B435" s="2" t="s">
        <v>3051</v>
      </c>
      <c r="C435" s="2" t="s">
        <v>3052</v>
      </c>
      <c r="D435" s="2" t="s">
        <v>3053</v>
      </c>
      <c r="E435" s="3">
        <v>42425</v>
      </c>
      <c r="F435" s="2" t="s">
        <v>221</v>
      </c>
      <c r="G435" s="2"/>
      <c r="H435" s="2" t="s">
        <v>2425</v>
      </c>
      <c r="I435" s="2" t="s">
        <v>2597</v>
      </c>
      <c r="J435" s="3">
        <v>42485</v>
      </c>
      <c r="K435" s="2" t="str">
        <f>HYPERLINK("https://docs.wto.org/imrd/directdoc.asp?DDFDocuments/t/G/SPS/NTPKM387.DOC")</f>
        <v>https://docs.wto.org/imrd/directdoc.asp?DDFDocuments/t/G/SPS/NTPKM387.DOC</v>
      </c>
      <c r="L435" s="2" t="str">
        <f>HYPERLINK("https://docs.wto.org/imrd/directdoc.asp?DDFDocuments/u/G/SPS/NTPKM387.DOC")</f>
        <v>https://docs.wto.org/imrd/directdoc.asp?DDFDocuments/u/G/SPS/NTPKM387.DOC</v>
      </c>
      <c r="M435" s="2" t="str">
        <f>HYPERLINK("https://docs.wto.org/imrd/directdoc.asp?DDFDocuments/v/G/SPS/NTPKM387.DOC")</f>
        <v>https://docs.wto.org/imrd/directdoc.asp?DDFDocuments/v/G/SPS/NTPKM387.DOC</v>
      </c>
      <c r="N435" s="2" t="str">
        <f>HYPERLINK("http://www.epingalert.org/#/details/G/SPS/N/TPKM/387")</f>
        <v>http://www.epingalert.org/#/details/G/SPS/N/TPKM/387</v>
      </c>
      <c r="O435" s="2"/>
    </row>
    <row r="436" spans="1:15" ht="240" customHeight="1" outlineLevel="1" x14ac:dyDescent="0.25">
      <c r="A436" s="2" t="s">
        <v>2846</v>
      </c>
      <c r="B436" s="2" t="s">
        <v>3054</v>
      </c>
      <c r="C436" s="2" t="s">
        <v>3055</v>
      </c>
      <c r="D436" s="2" t="s">
        <v>3056</v>
      </c>
      <c r="E436" s="3">
        <v>42425</v>
      </c>
      <c r="F436" s="2" t="s">
        <v>46</v>
      </c>
      <c r="G436" s="2"/>
      <c r="H436" s="2" t="s">
        <v>2425</v>
      </c>
      <c r="I436" s="2" t="s">
        <v>2426</v>
      </c>
      <c r="J436" s="2"/>
      <c r="K436" s="2" t="str">
        <f>HYPERLINK("https://docs.wto.org/imrd/directdoc.asp?DDFDocuments/t/G/SPS/NMAC18.DOC")</f>
        <v>https://docs.wto.org/imrd/directdoc.asp?DDFDocuments/t/G/SPS/NMAC18.DOC</v>
      </c>
      <c r="L436" s="2" t="str">
        <f>HYPERLINK("https://docs.wto.org/imrd/directdoc.asp?DDFDocuments/u/G/SPS/NMAC18.DOC")</f>
        <v>https://docs.wto.org/imrd/directdoc.asp?DDFDocuments/u/G/SPS/NMAC18.DOC</v>
      </c>
      <c r="M436" s="2" t="str">
        <f>HYPERLINK("https://docs.wto.org/imrd/directdoc.asp?DDFDocuments/v/G/SPS/NMAC18.DOC")</f>
        <v>https://docs.wto.org/imrd/directdoc.asp?DDFDocuments/v/G/SPS/NMAC18.DOC</v>
      </c>
      <c r="N436" s="2" t="str">
        <f>HYPERLINK("http://www.epingalert.org/#/details/G/SPS/N/MAC/18")</f>
        <v>http://www.epingalert.org/#/details/G/SPS/N/MAC/18</v>
      </c>
      <c r="O436" s="2"/>
    </row>
    <row r="437" spans="1:15" ht="240" customHeight="1" outlineLevel="1" x14ac:dyDescent="0.25">
      <c r="A437" s="2" t="s">
        <v>98</v>
      </c>
      <c r="B437" s="2" t="s">
        <v>7155</v>
      </c>
      <c r="C437" s="2" t="s">
        <v>7156</v>
      </c>
      <c r="D437" s="2" t="s">
        <v>7157</v>
      </c>
      <c r="E437" s="3">
        <v>42423</v>
      </c>
      <c r="F437" s="2" t="s">
        <v>6993</v>
      </c>
      <c r="G437" s="2" t="s">
        <v>7158</v>
      </c>
      <c r="H437" s="2" t="s">
        <v>2467</v>
      </c>
      <c r="I437" s="2" t="s">
        <v>7159</v>
      </c>
      <c r="J437" s="3">
        <v>42483</v>
      </c>
      <c r="K437" s="2" t="str">
        <f>HYPERLINK("https://docs.wto.org/imrd/directdoc.asp?DDFDocuments/t/G/SPS/NZAF43.DOC")</f>
        <v>https://docs.wto.org/imrd/directdoc.asp?DDFDocuments/t/G/SPS/NZAF43.DOC</v>
      </c>
      <c r="L437" s="2" t="str">
        <f>HYPERLINK("https://docs.wto.org/imrd/directdoc.asp?DDFDocuments/u/G/SPS/NZAF43.DOC")</f>
        <v>https://docs.wto.org/imrd/directdoc.asp?DDFDocuments/u/G/SPS/NZAF43.DOC</v>
      </c>
      <c r="M437" s="2" t="str">
        <f>HYPERLINK("https://docs.wto.org/imrd/directdoc.asp?DDFDocuments/v/G/SPS/NZAF43.DOC")</f>
        <v>https://docs.wto.org/imrd/directdoc.asp?DDFDocuments/v/G/SPS/NZAF43.DOC</v>
      </c>
      <c r="N437" s="2" t="str">
        <f>HYPERLINK("http://www.epingalert.org/#/details/G/SPS/N/ZAF/43")</f>
        <v>http://www.epingalert.org/#/details/G/SPS/N/ZAF/43</v>
      </c>
      <c r="O437" s="2"/>
    </row>
    <row r="438" spans="1:15" ht="240" customHeight="1" outlineLevel="1" x14ac:dyDescent="0.25">
      <c r="A438" s="2" t="s">
        <v>12</v>
      </c>
      <c r="B438" s="2" t="s">
        <v>3068</v>
      </c>
      <c r="C438" s="2" t="s">
        <v>3069</v>
      </c>
      <c r="D438" s="2" t="s">
        <v>3070</v>
      </c>
      <c r="E438" s="3">
        <v>42422</v>
      </c>
      <c r="F438" s="2" t="s">
        <v>2704</v>
      </c>
      <c r="G438" s="2"/>
      <c r="H438" s="2" t="s">
        <v>2425</v>
      </c>
      <c r="I438" s="2" t="s">
        <v>2426</v>
      </c>
      <c r="J438" s="3">
        <v>42482</v>
      </c>
      <c r="K438" s="2" t="str">
        <f>HYPERLINK("https://docs.wto.org/imrd/directdoc.asp?DDFDocuments/t/G/SPS/NEU157.DOC")</f>
        <v>https://docs.wto.org/imrd/directdoc.asp?DDFDocuments/t/G/SPS/NEU157.DOC</v>
      </c>
      <c r="L438" s="2" t="str">
        <f>HYPERLINK("https://docs.wto.org/imrd/directdoc.asp?DDFDocuments/u/G/SPS/NEU157.DOC")</f>
        <v>https://docs.wto.org/imrd/directdoc.asp?DDFDocuments/u/G/SPS/NEU157.DOC</v>
      </c>
      <c r="M438" s="2" t="str">
        <f>HYPERLINK("https://docs.wto.org/imrd/directdoc.asp?DDFDocuments/v/G/SPS/NEU157.DOC")</f>
        <v>https://docs.wto.org/imrd/directdoc.asp?DDFDocuments/v/G/SPS/NEU157.DOC</v>
      </c>
      <c r="N438" s="2" t="str">
        <f>HYPERLINK("http://www.epingalert.org/#/details/G/SPS/N/EU/157")</f>
        <v>http://www.epingalert.org/#/details/G/SPS/N/EU/157</v>
      </c>
      <c r="O438" s="2"/>
    </row>
    <row r="439" spans="1:15" ht="240" customHeight="1" outlineLevel="1" x14ac:dyDescent="0.25">
      <c r="A439" s="2" t="s">
        <v>12</v>
      </c>
      <c r="B439" s="2" t="s">
        <v>3071</v>
      </c>
      <c r="C439" s="2" t="s">
        <v>3072</v>
      </c>
      <c r="D439" s="2" t="s">
        <v>3073</v>
      </c>
      <c r="E439" s="3">
        <v>42422</v>
      </c>
      <c r="F439" s="2" t="s">
        <v>2606</v>
      </c>
      <c r="G439" s="2"/>
      <c r="H439" s="2" t="s">
        <v>2425</v>
      </c>
      <c r="I439" s="2" t="s">
        <v>2426</v>
      </c>
      <c r="J439" s="3">
        <v>42482</v>
      </c>
      <c r="K439" s="2" t="str">
        <f>HYPERLINK("https://docs.wto.org/imrd/directdoc.asp?DDFDocuments/t/G/SPS/NEU156.DOC")</f>
        <v>https://docs.wto.org/imrd/directdoc.asp?DDFDocuments/t/G/SPS/NEU156.DOC</v>
      </c>
      <c r="L439" s="2" t="str">
        <f>HYPERLINK("https://docs.wto.org/imrd/directdoc.asp?DDFDocuments/u/G/SPS/NEU156.DOC")</f>
        <v>https://docs.wto.org/imrd/directdoc.asp?DDFDocuments/u/G/SPS/NEU156.DOC</v>
      </c>
      <c r="M439" s="2" t="str">
        <f>HYPERLINK("https://docs.wto.org/imrd/directdoc.asp?DDFDocuments/v/G/SPS/NEU156.DOC")</f>
        <v>https://docs.wto.org/imrd/directdoc.asp?DDFDocuments/v/G/SPS/NEU156.DOC</v>
      </c>
      <c r="N439" s="2" t="str">
        <f>HYPERLINK("http://www.epingalert.org/#/details/G/SPS/N/EU/156")</f>
        <v>http://www.epingalert.org/#/details/G/SPS/N/EU/156</v>
      </c>
      <c r="O439" s="2"/>
    </row>
    <row r="440" spans="1:15" ht="240" customHeight="1" outlineLevel="1" x14ac:dyDescent="0.25">
      <c r="A440" s="2" t="s">
        <v>211</v>
      </c>
      <c r="B440" s="2" t="s">
        <v>7160</v>
      </c>
      <c r="C440" s="2" t="s">
        <v>7161</v>
      </c>
      <c r="D440" s="2" t="s">
        <v>7162</v>
      </c>
      <c r="E440" s="3">
        <v>42422</v>
      </c>
      <c r="F440" s="2" t="e">
        <f>- Egg powders and crystals - Liquid pasteurised Egg - products containing Egg as an ingredient</f>
        <v>#NAME?</v>
      </c>
      <c r="G440" s="2" t="s">
        <v>7163</v>
      </c>
      <c r="H440" s="2" t="s">
        <v>2467</v>
      </c>
      <c r="I440" s="2" t="s">
        <v>7164</v>
      </c>
      <c r="J440" s="3">
        <v>42482</v>
      </c>
      <c r="K440" s="2" t="str">
        <f>HYPERLINK("https://docs.wto.org/imrd/directdoc.asp?DDFDocuments/t/G/SPS/NNZL531.DOC")</f>
        <v>https://docs.wto.org/imrd/directdoc.asp?DDFDocuments/t/G/SPS/NNZL531.DOC</v>
      </c>
      <c r="L440" s="2" t="str">
        <f>HYPERLINK("https://docs.wto.org/imrd/directdoc.asp?DDFDocuments/u/G/SPS/NNZL531.DOC")</f>
        <v>https://docs.wto.org/imrd/directdoc.asp?DDFDocuments/u/G/SPS/NNZL531.DOC</v>
      </c>
      <c r="M440" s="2" t="str">
        <f>HYPERLINK("https://docs.wto.org/imrd/directdoc.asp?DDFDocuments/v/G/SPS/NNZL531.DOC")</f>
        <v>https://docs.wto.org/imrd/directdoc.asp?DDFDocuments/v/G/SPS/NNZL531.DOC</v>
      </c>
      <c r="N440" s="2" t="str">
        <f>HYPERLINK("http://www.epingalert.org/#/details/G/SPS/N/NZL/531")</f>
        <v>http://www.epingalert.org/#/details/G/SPS/N/NZL/531</v>
      </c>
      <c r="O440" s="2"/>
    </row>
    <row r="441" spans="1:15" ht="240" customHeight="1" outlineLevel="1" x14ac:dyDescent="0.25">
      <c r="A441" s="2" t="s">
        <v>42</v>
      </c>
      <c r="B441" s="2" t="s">
        <v>3057</v>
      </c>
      <c r="C441" s="2" t="s">
        <v>3058</v>
      </c>
      <c r="D441" s="2" t="s">
        <v>3059</v>
      </c>
      <c r="E441" s="3">
        <v>42422</v>
      </c>
      <c r="F441" s="2" t="s">
        <v>3059</v>
      </c>
      <c r="G441" s="2"/>
      <c r="H441" s="2" t="s">
        <v>2425</v>
      </c>
      <c r="I441" s="2" t="s">
        <v>2453</v>
      </c>
      <c r="J441" s="3">
        <v>42429</v>
      </c>
      <c r="K441" s="2" t="str">
        <f>HYPERLINK("https://docs.wto.org/imrd/directdoc.asp?DDFDocuments/t/G/SPS/NBRA1102.DOC")</f>
        <v>https://docs.wto.org/imrd/directdoc.asp?DDFDocuments/t/G/SPS/NBRA1102.DOC</v>
      </c>
      <c r="L441" s="2" t="str">
        <f>HYPERLINK("https://docs.wto.org/imrd/directdoc.asp?DDFDocuments/u/G/SPS/NBRA1102.DOC")</f>
        <v>https://docs.wto.org/imrd/directdoc.asp?DDFDocuments/u/G/SPS/NBRA1102.DOC</v>
      </c>
      <c r="M441" s="2" t="str">
        <f>HYPERLINK("https://docs.wto.org/imrd/directdoc.asp?DDFDocuments/v/G/SPS/NBRA1102.DOC")</f>
        <v>https://docs.wto.org/imrd/directdoc.asp?DDFDocuments/v/G/SPS/NBRA1102.DOC</v>
      </c>
      <c r="N441" s="2" t="str">
        <f>HYPERLINK("http://www.epingalert.org/#/details/G/SPS/N/BRA/1102")</f>
        <v>http://www.epingalert.org/#/details/G/SPS/N/BRA/1102</v>
      </c>
      <c r="O441" s="2"/>
    </row>
    <row r="442" spans="1:15" ht="240" customHeight="1" outlineLevel="1" x14ac:dyDescent="0.25">
      <c r="A442" s="2" t="s">
        <v>42</v>
      </c>
      <c r="B442" s="2" t="s">
        <v>3060</v>
      </c>
      <c r="C442" s="2" t="s">
        <v>3061</v>
      </c>
      <c r="D442" s="2" t="s">
        <v>3062</v>
      </c>
      <c r="E442" s="3">
        <v>42422</v>
      </c>
      <c r="F442" s="2" t="s">
        <v>3063</v>
      </c>
      <c r="G442" s="2"/>
      <c r="H442" s="2" t="s">
        <v>2425</v>
      </c>
      <c r="I442" s="2" t="s">
        <v>2453</v>
      </c>
      <c r="J442" s="3">
        <v>42429</v>
      </c>
      <c r="K442" s="2" t="str">
        <f>HYPERLINK("https://docs.wto.org/imrd/directdoc.asp?DDFDocuments/t/G/SPS/NBRA1100.DOC")</f>
        <v>https://docs.wto.org/imrd/directdoc.asp?DDFDocuments/t/G/SPS/NBRA1100.DOC</v>
      </c>
      <c r="L442" s="2" t="str">
        <f>HYPERLINK("https://docs.wto.org/imrd/directdoc.asp?DDFDocuments/u/G/SPS/NBRA1100.DOC")</f>
        <v>https://docs.wto.org/imrd/directdoc.asp?DDFDocuments/u/G/SPS/NBRA1100.DOC</v>
      </c>
      <c r="M442" s="2" t="str">
        <f>HYPERLINK("https://docs.wto.org/imrd/directdoc.asp?DDFDocuments/v/G/SPS/NBRA1100.DOC")</f>
        <v>https://docs.wto.org/imrd/directdoc.asp?DDFDocuments/v/G/SPS/NBRA1100.DOC</v>
      </c>
      <c r="N442" s="2" t="str">
        <f>HYPERLINK("http://www.epingalert.org/#/details/G/SPS/N/BRA/1100")</f>
        <v>http://www.epingalert.org/#/details/G/SPS/N/BRA/1100</v>
      </c>
      <c r="O442" s="2"/>
    </row>
    <row r="443" spans="1:15" ht="240" customHeight="1" outlineLevel="1" x14ac:dyDescent="0.25">
      <c r="A443" s="2" t="s">
        <v>42</v>
      </c>
      <c r="B443" s="2" t="s">
        <v>3064</v>
      </c>
      <c r="C443" s="2" t="s">
        <v>3065</v>
      </c>
      <c r="D443" s="2" t="s">
        <v>3066</v>
      </c>
      <c r="E443" s="3">
        <v>42422</v>
      </c>
      <c r="F443" s="2" t="s">
        <v>3067</v>
      </c>
      <c r="G443" s="2"/>
      <c r="H443" s="2" t="s">
        <v>2425</v>
      </c>
      <c r="I443" s="2" t="s">
        <v>2453</v>
      </c>
      <c r="J443" s="3">
        <v>42429</v>
      </c>
      <c r="K443" s="2" t="str">
        <f>HYPERLINK("https://docs.wto.org/imrd/directdoc.asp?DDFDocuments/t/G/SPS/NBRA1101.DOC")</f>
        <v>https://docs.wto.org/imrd/directdoc.asp?DDFDocuments/t/G/SPS/NBRA1101.DOC</v>
      </c>
      <c r="L443" s="2" t="str">
        <f>HYPERLINK("https://docs.wto.org/imrd/directdoc.asp?DDFDocuments/u/G/SPS/NBRA1101.DOC")</f>
        <v>https://docs.wto.org/imrd/directdoc.asp?DDFDocuments/u/G/SPS/NBRA1101.DOC</v>
      </c>
      <c r="M443" s="2" t="str">
        <f>HYPERLINK("https://docs.wto.org/imrd/directdoc.asp?DDFDocuments/v/G/SPS/NBRA1101.DOC")</f>
        <v>https://docs.wto.org/imrd/directdoc.asp?DDFDocuments/v/G/SPS/NBRA1101.DOC</v>
      </c>
      <c r="N443" s="2" t="str">
        <f>HYPERLINK("http://www.epingalert.org/#/details/G/SPS/N/BRA/1101")</f>
        <v>http://www.epingalert.org/#/details/G/SPS/N/BRA/1101</v>
      </c>
      <c r="O443" s="2"/>
    </row>
    <row r="444" spans="1:15" ht="240" customHeight="1" outlineLevel="1" x14ac:dyDescent="0.25">
      <c r="A444" s="2" t="s">
        <v>115</v>
      </c>
      <c r="B444" s="2" t="s">
        <v>7165</v>
      </c>
      <c r="C444" s="2" t="s">
        <v>6754</v>
      </c>
      <c r="D444" s="2" t="s">
        <v>7166</v>
      </c>
      <c r="E444" s="3">
        <v>42418</v>
      </c>
      <c r="F444" s="2" t="s">
        <v>7054</v>
      </c>
      <c r="G444" s="2" t="s">
        <v>7167</v>
      </c>
      <c r="H444" s="2" t="s">
        <v>2425</v>
      </c>
      <c r="I444" s="2" t="s">
        <v>2453</v>
      </c>
      <c r="J444" s="3">
        <v>42478</v>
      </c>
      <c r="K444" s="2" t="str">
        <f>HYPERLINK("https://docs.wto.org/imrd/directdoc.asp?DDFDocuments/t/G/SPS/NJPN450.DOC")</f>
        <v>https://docs.wto.org/imrd/directdoc.asp?DDFDocuments/t/G/SPS/NJPN450.DOC</v>
      </c>
      <c r="L444" s="2" t="str">
        <f>HYPERLINK("https://docs.wto.org/imrd/directdoc.asp?DDFDocuments/u/G/SPS/NJPN450.DOC")</f>
        <v>https://docs.wto.org/imrd/directdoc.asp?DDFDocuments/u/G/SPS/NJPN450.DOC</v>
      </c>
      <c r="M444" s="2" t="str">
        <f>HYPERLINK("https://docs.wto.org/imrd/directdoc.asp?DDFDocuments/v/G/SPS/NJPN450.DOC")</f>
        <v>https://docs.wto.org/imrd/directdoc.asp?DDFDocuments/v/G/SPS/NJPN450.DOC</v>
      </c>
      <c r="N444" s="2" t="str">
        <f>HYPERLINK("http://www.epingalert.org/#/details/G/SPS/N/JPN/450")</f>
        <v>http://www.epingalert.org/#/details/G/SPS/N/JPN/450</v>
      </c>
      <c r="O444" s="2"/>
    </row>
    <row r="445" spans="1:15" ht="240" customHeight="1" outlineLevel="1" x14ac:dyDescent="0.25">
      <c r="A445" s="2" t="s">
        <v>115</v>
      </c>
      <c r="B445" s="2" t="s">
        <v>7168</v>
      </c>
      <c r="C445" s="2" t="s">
        <v>6754</v>
      </c>
      <c r="D445" s="2" t="s">
        <v>7169</v>
      </c>
      <c r="E445" s="3">
        <v>42418</v>
      </c>
      <c r="F445" s="2" t="s">
        <v>7046</v>
      </c>
      <c r="G445" s="2" t="s">
        <v>7170</v>
      </c>
      <c r="H445" s="2" t="s">
        <v>2425</v>
      </c>
      <c r="I445" s="2" t="s">
        <v>2453</v>
      </c>
      <c r="J445" s="3">
        <v>42478</v>
      </c>
      <c r="K445" s="2" t="str">
        <f>HYPERLINK("https://docs.wto.org/imrd/directdoc.asp?DDFDocuments/t/G/SPS/NJPN446.DOC")</f>
        <v>https://docs.wto.org/imrd/directdoc.asp?DDFDocuments/t/G/SPS/NJPN446.DOC</v>
      </c>
      <c r="L445" s="2" t="str">
        <f>HYPERLINK("https://docs.wto.org/imrd/directdoc.asp?DDFDocuments/u/G/SPS/NJPN446.DOC")</f>
        <v>https://docs.wto.org/imrd/directdoc.asp?DDFDocuments/u/G/SPS/NJPN446.DOC</v>
      </c>
      <c r="M445" s="2" t="str">
        <f>HYPERLINK("https://docs.wto.org/imrd/directdoc.asp?DDFDocuments/v/G/SPS/NJPN446.DOC")</f>
        <v>https://docs.wto.org/imrd/directdoc.asp?DDFDocuments/v/G/SPS/NJPN446.DOC</v>
      </c>
      <c r="N445" s="2" t="str">
        <f>HYPERLINK("http://www.epingalert.org/#/details/G/SPS/N/JPN/446")</f>
        <v>http://www.epingalert.org/#/details/G/SPS/N/JPN/446</v>
      </c>
      <c r="O445" s="2"/>
    </row>
    <row r="446" spans="1:15" ht="240" customHeight="1" outlineLevel="1" x14ac:dyDescent="0.25">
      <c r="A446" s="2" t="s">
        <v>115</v>
      </c>
      <c r="B446" s="2" t="s">
        <v>7171</v>
      </c>
      <c r="C446" s="2" t="s">
        <v>6754</v>
      </c>
      <c r="D446" s="2" t="s">
        <v>7172</v>
      </c>
      <c r="E446" s="3">
        <v>42418</v>
      </c>
      <c r="F446" s="2" t="s">
        <v>7173</v>
      </c>
      <c r="G446" s="2" t="s">
        <v>7174</v>
      </c>
      <c r="H446" s="2" t="s">
        <v>2425</v>
      </c>
      <c r="I446" s="2" t="s">
        <v>2499</v>
      </c>
      <c r="J446" s="3">
        <v>42478</v>
      </c>
      <c r="K446" s="2" t="str">
        <f>HYPERLINK("https://docs.wto.org/imrd/directdoc.asp?DDFDocuments/t/G/SPS/NJPN443.DOC")</f>
        <v>https://docs.wto.org/imrd/directdoc.asp?DDFDocuments/t/G/SPS/NJPN443.DOC</v>
      </c>
      <c r="L446" s="2" t="str">
        <f>HYPERLINK("https://docs.wto.org/imrd/directdoc.asp?DDFDocuments/u/G/SPS/NJPN443.DOC")</f>
        <v>https://docs.wto.org/imrd/directdoc.asp?DDFDocuments/u/G/SPS/NJPN443.DOC</v>
      </c>
      <c r="M446" s="2" t="str">
        <f>HYPERLINK("https://docs.wto.org/imrd/directdoc.asp?DDFDocuments/v/G/SPS/NJPN443.DOC")</f>
        <v>https://docs.wto.org/imrd/directdoc.asp?DDFDocuments/v/G/SPS/NJPN443.DOC</v>
      </c>
      <c r="N446" s="2" t="str">
        <f>HYPERLINK("http://www.epingalert.org/#/details/G/SPS/N/JPN/443")</f>
        <v>http://www.epingalert.org/#/details/G/SPS/N/JPN/443</v>
      </c>
      <c r="O446" s="2"/>
    </row>
    <row r="447" spans="1:15" ht="240" customHeight="1" outlineLevel="1" x14ac:dyDescent="0.25">
      <c r="A447" s="2" t="s">
        <v>115</v>
      </c>
      <c r="B447" s="2" t="s">
        <v>7175</v>
      </c>
      <c r="C447" s="2" t="s">
        <v>6754</v>
      </c>
      <c r="D447" s="2" t="s">
        <v>7176</v>
      </c>
      <c r="E447" s="3">
        <v>42418</v>
      </c>
      <c r="F447" s="2" t="s">
        <v>7046</v>
      </c>
      <c r="G447" s="2" t="s">
        <v>7177</v>
      </c>
      <c r="H447" s="2" t="s">
        <v>2425</v>
      </c>
      <c r="I447" s="2" t="s">
        <v>2453</v>
      </c>
      <c r="J447" s="3">
        <v>42478</v>
      </c>
      <c r="K447" s="2" t="str">
        <f>HYPERLINK("https://docs.wto.org/imrd/directdoc.asp?DDFDocuments/t/G/SPS/NJPN447.DOC")</f>
        <v>https://docs.wto.org/imrd/directdoc.asp?DDFDocuments/t/G/SPS/NJPN447.DOC</v>
      </c>
      <c r="L447" s="2" t="str">
        <f>HYPERLINK("https://docs.wto.org/imrd/directdoc.asp?DDFDocuments/u/G/SPS/NJPN447.DOC")</f>
        <v>https://docs.wto.org/imrd/directdoc.asp?DDFDocuments/u/G/SPS/NJPN447.DOC</v>
      </c>
      <c r="M447" s="2" t="str">
        <f>HYPERLINK("https://docs.wto.org/imrd/directdoc.asp?DDFDocuments/v/G/SPS/NJPN447.DOC")</f>
        <v>https://docs.wto.org/imrd/directdoc.asp?DDFDocuments/v/G/SPS/NJPN447.DOC</v>
      </c>
      <c r="N447" s="2" t="str">
        <f>HYPERLINK("http://www.epingalert.org/#/details/G/SPS/N/JPN/447")</f>
        <v>http://www.epingalert.org/#/details/G/SPS/N/JPN/447</v>
      </c>
      <c r="O447" s="2"/>
    </row>
    <row r="448" spans="1:15" ht="240" customHeight="1" outlineLevel="1" x14ac:dyDescent="0.25">
      <c r="A448" s="2" t="s">
        <v>115</v>
      </c>
      <c r="B448" s="2" t="s">
        <v>7178</v>
      </c>
      <c r="C448" s="2" t="s">
        <v>6754</v>
      </c>
      <c r="D448" s="2" t="s">
        <v>7179</v>
      </c>
      <c r="E448" s="3">
        <v>42418</v>
      </c>
      <c r="F448" s="2" t="s">
        <v>7046</v>
      </c>
      <c r="G448" s="2" t="s">
        <v>7180</v>
      </c>
      <c r="H448" s="2" t="s">
        <v>2425</v>
      </c>
      <c r="I448" s="2" t="s">
        <v>2453</v>
      </c>
      <c r="J448" s="3">
        <v>42478</v>
      </c>
      <c r="K448" s="2" t="str">
        <f>HYPERLINK("https://docs.wto.org/imrd/directdoc.asp?DDFDocuments/t/G/SPS/NJPN448.DOC")</f>
        <v>https://docs.wto.org/imrd/directdoc.asp?DDFDocuments/t/G/SPS/NJPN448.DOC</v>
      </c>
      <c r="L448" s="2" t="str">
        <f>HYPERLINK("https://docs.wto.org/imrd/directdoc.asp?DDFDocuments/u/G/SPS/NJPN448.DOC")</f>
        <v>https://docs.wto.org/imrd/directdoc.asp?DDFDocuments/u/G/SPS/NJPN448.DOC</v>
      </c>
      <c r="M448" s="2" t="str">
        <f>HYPERLINK("https://docs.wto.org/imrd/directdoc.asp?DDFDocuments/v/G/SPS/NJPN448.DOC")</f>
        <v>https://docs.wto.org/imrd/directdoc.asp?DDFDocuments/v/G/SPS/NJPN448.DOC</v>
      </c>
      <c r="N448" s="2" t="str">
        <f>HYPERLINK("http://www.epingalert.org/#/details/G/SPS/N/JPN/448")</f>
        <v>http://www.epingalert.org/#/details/G/SPS/N/JPN/448</v>
      </c>
      <c r="O448" s="2"/>
    </row>
    <row r="449" spans="1:15" ht="240" customHeight="1" outlineLevel="1" x14ac:dyDescent="0.25">
      <c r="A449" s="2" t="s">
        <v>115</v>
      </c>
      <c r="B449" s="2" t="s">
        <v>7181</v>
      </c>
      <c r="C449" s="2" t="s">
        <v>6754</v>
      </c>
      <c r="D449" s="2" t="s">
        <v>7182</v>
      </c>
      <c r="E449" s="3">
        <v>42418</v>
      </c>
      <c r="F449" s="2" t="s">
        <v>7058</v>
      </c>
      <c r="G449" s="2" t="s">
        <v>7183</v>
      </c>
      <c r="H449" s="2" t="s">
        <v>2425</v>
      </c>
      <c r="I449" s="2" t="s">
        <v>2453</v>
      </c>
      <c r="J449" s="3">
        <v>42478</v>
      </c>
      <c r="K449" s="2" t="str">
        <f>HYPERLINK("https://docs.wto.org/imrd/directdoc.asp?DDFDocuments/t/G/SPS/NJPN442.DOC")</f>
        <v>https://docs.wto.org/imrd/directdoc.asp?DDFDocuments/t/G/SPS/NJPN442.DOC</v>
      </c>
      <c r="L449" s="2" t="str">
        <f>HYPERLINK("https://docs.wto.org/imrd/directdoc.asp?DDFDocuments/u/G/SPS/NJPN442.DOC")</f>
        <v>https://docs.wto.org/imrd/directdoc.asp?DDFDocuments/u/G/SPS/NJPN442.DOC</v>
      </c>
      <c r="M449" s="2" t="str">
        <f>HYPERLINK("https://docs.wto.org/imrd/directdoc.asp?DDFDocuments/v/G/SPS/NJPN442.DOC")</f>
        <v>https://docs.wto.org/imrd/directdoc.asp?DDFDocuments/v/G/SPS/NJPN442.DOC</v>
      </c>
      <c r="N449" s="2" t="str">
        <f>HYPERLINK("http://www.epingalert.org/#/details/G/SPS/N/JPN/442")</f>
        <v>http://www.epingalert.org/#/details/G/SPS/N/JPN/442</v>
      </c>
      <c r="O449" s="2"/>
    </row>
    <row r="450" spans="1:15" ht="240" customHeight="1" outlineLevel="1" x14ac:dyDescent="0.25">
      <c r="A450" s="2" t="s">
        <v>115</v>
      </c>
      <c r="B450" s="2" t="s">
        <v>7184</v>
      </c>
      <c r="C450" s="2" t="s">
        <v>6754</v>
      </c>
      <c r="D450" s="2" t="s">
        <v>7185</v>
      </c>
      <c r="E450" s="3">
        <v>42418</v>
      </c>
      <c r="F450" s="2" t="s">
        <v>7046</v>
      </c>
      <c r="G450" s="2" t="s">
        <v>7186</v>
      </c>
      <c r="H450" s="2" t="s">
        <v>2425</v>
      </c>
      <c r="I450" s="2" t="s">
        <v>2453</v>
      </c>
      <c r="J450" s="3">
        <v>42478</v>
      </c>
      <c r="K450" s="2" t="str">
        <f>HYPERLINK("https://docs.wto.org/imrd/directdoc.asp?DDFDocuments/t/G/SPS/NJPN445.DOC")</f>
        <v>https://docs.wto.org/imrd/directdoc.asp?DDFDocuments/t/G/SPS/NJPN445.DOC</v>
      </c>
      <c r="L450" s="2" t="str">
        <f>HYPERLINK("https://docs.wto.org/imrd/directdoc.asp?DDFDocuments/u/G/SPS/NJPN445.DOC")</f>
        <v>https://docs.wto.org/imrd/directdoc.asp?DDFDocuments/u/G/SPS/NJPN445.DOC</v>
      </c>
      <c r="M450" s="2" t="str">
        <f>HYPERLINK("https://docs.wto.org/imrd/directdoc.asp?DDFDocuments/v/G/SPS/NJPN445.DOC")</f>
        <v>https://docs.wto.org/imrd/directdoc.asp?DDFDocuments/v/G/SPS/NJPN445.DOC</v>
      </c>
      <c r="N450" s="2" t="str">
        <f>HYPERLINK("http://www.epingalert.org/#/details/G/SPS/N/JPN/445")</f>
        <v>http://www.epingalert.org/#/details/G/SPS/N/JPN/445</v>
      </c>
      <c r="O450" s="2"/>
    </row>
    <row r="451" spans="1:15" ht="240" customHeight="1" outlineLevel="1" x14ac:dyDescent="0.25">
      <c r="A451" s="2" t="s">
        <v>167</v>
      </c>
      <c r="B451" s="2" t="s">
        <v>7187</v>
      </c>
      <c r="C451" s="2"/>
      <c r="D451" s="2"/>
      <c r="E451" s="3">
        <v>42417</v>
      </c>
      <c r="F451" s="2"/>
      <c r="G451" s="2" t="s">
        <v>2039</v>
      </c>
      <c r="H451" s="2" t="s">
        <v>2454</v>
      </c>
      <c r="I451" s="2" t="s">
        <v>2491</v>
      </c>
      <c r="J451" s="3">
        <v>42477</v>
      </c>
      <c r="K451" s="2" t="str">
        <f>HYPERLINK("https://docs.wto.org/imrd/directdoc.asp?DDFDocuments/t/G/SPS/NNIC70A2.DOC")</f>
        <v>https://docs.wto.org/imrd/directdoc.asp?DDFDocuments/t/G/SPS/NNIC70A2.DOC</v>
      </c>
      <c r="L451" s="2" t="str">
        <f>HYPERLINK("https://docs.wto.org/imrd/directdoc.asp?DDFDocuments/u/G/SPS/NNIC70A2.DOC")</f>
        <v>https://docs.wto.org/imrd/directdoc.asp?DDFDocuments/u/G/SPS/NNIC70A2.DOC</v>
      </c>
      <c r="M451" s="2" t="str">
        <f>HYPERLINK("https://docs.wto.org/imrd/directdoc.asp?DDFDocuments/v/G/SPS/NNIC70A2.DOC")</f>
        <v>https://docs.wto.org/imrd/directdoc.asp?DDFDocuments/v/G/SPS/NNIC70A2.DOC</v>
      </c>
      <c r="N451" s="2" t="str">
        <f>HYPERLINK("http://www.epingalert.org/#/details/G/SPS/N/NIC/70/Add.2")</f>
        <v>http://www.epingalert.org/#/details/G/SPS/N/NIC/70/Add.2</v>
      </c>
      <c r="O451" s="2"/>
    </row>
    <row r="452" spans="1:15" ht="240" customHeight="1" outlineLevel="1" x14ac:dyDescent="0.25">
      <c r="A452" s="2" t="s">
        <v>77</v>
      </c>
      <c r="B452" s="2" t="s">
        <v>3074</v>
      </c>
      <c r="C452" s="2"/>
      <c r="D452" s="2"/>
      <c r="E452" s="3">
        <v>42417</v>
      </c>
      <c r="F452" s="2" t="s">
        <v>3075</v>
      </c>
      <c r="G452" s="2"/>
      <c r="H452" s="2" t="s">
        <v>2425</v>
      </c>
      <c r="I452" s="2" t="s">
        <v>2444</v>
      </c>
      <c r="J452" s="2"/>
      <c r="K452" s="2" t="str">
        <f>HYPERLINK("https://docs.wto.org/imrd/directdoc.asp?DDFDocuments/t/G/SPS/NTPKM350A1.DOC")</f>
        <v>https://docs.wto.org/imrd/directdoc.asp?DDFDocuments/t/G/SPS/NTPKM350A1.DOC</v>
      </c>
      <c r="L452" s="2" t="str">
        <f>HYPERLINK("https://docs.wto.org/imrd/directdoc.asp?DDFDocuments/u/G/SPS/NTPKM350A1.DOC")</f>
        <v>https://docs.wto.org/imrd/directdoc.asp?DDFDocuments/u/G/SPS/NTPKM350A1.DOC</v>
      </c>
      <c r="M452" s="2" t="str">
        <f>HYPERLINK("https://docs.wto.org/imrd/directdoc.asp?DDFDocuments/v/G/SPS/NTPKM350A1.DOC")</f>
        <v>https://docs.wto.org/imrd/directdoc.asp?DDFDocuments/v/G/SPS/NTPKM350A1.DOC</v>
      </c>
      <c r="N452" s="2" t="str">
        <f>HYPERLINK("http://www.epingalert.org/#/details/G/SPS/N/TPKM/350/Add.1")</f>
        <v>http://www.epingalert.org/#/details/G/SPS/N/TPKM/350/Add.1</v>
      </c>
      <c r="O452" s="2"/>
    </row>
    <row r="453" spans="1:15" ht="240" customHeight="1" outlineLevel="1" x14ac:dyDescent="0.25">
      <c r="A453" s="2" t="s">
        <v>3076</v>
      </c>
      <c r="B453" s="2" t="s">
        <v>3077</v>
      </c>
      <c r="C453" s="2" t="s">
        <v>3078</v>
      </c>
      <c r="D453" s="2" t="s">
        <v>3079</v>
      </c>
      <c r="E453" s="3">
        <v>42415</v>
      </c>
      <c r="F453" s="2"/>
      <c r="G453" s="2" t="s">
        <v>3080</v>
      </c>
      <c r="H453" s="2" t="s">
        <v>2425</v>
      </c>
      <c r="I453" s="2" t="s">
        <v>3081</v>
      </c>
      <c r="J453" s="3">
        <v>42475</v>
      </c>
      <c r="K453" s="2" t="str">
        <f>HYPERLINK("https://docs.wto.org/imrd/directdoc.asp?DDFDocuments/t/G/SPS/NMDG20.DOC")</f>
        <v>https://docs.wto.org/imrd/directdoc.asp?DDFDocuments/t/G/SPS/NMDG20.DOC</v>
      </c>
      <c r="L453" s="2" t="str">
        <f>HYPERLINK("https://docs.wto.org/imrd/directdoc.asp?DDFDocuments/u/G/SPS/NMDG20.DOC")</f>
        <v>https://docs.wto.org/imrd/directdoc.asp?DDFDocuments/u/G/SPS/NMDG20.DOC</v>
      </c>
      <c r="M453" s="2" t="str">
        <f>HYPERLINK("https://docs.wto.org/imrd/directdoc.asp?DDFDocuments/v/G/SPS/NMDG20.DOC")</f>
        <v>https://docs.wto.org/imrd/directdoc.asp?DDFDocuments/v/G/SPS/NMDG20.DOC</v>
      </c>
      <c r="N453" s="2" t="str">
        <f>HYPERLINK("http://www.epingalert.org/#/details/G/SPS/N/MDG/20")</f>
        <v>http://www.epingalert.org/#/details/G/SPS/N/MDG/20</v>
      </c>
      <c r="O453" s="2"/>
    </row>
    <row r="454" spans="1:15" ht="240" customHeight="1" outlineLevel="1" x14ac:dyDescent="0.25">
      <c r="A454" s="2" t="s">
        <v>115</v>
      </c>
      <c r="B454" s="2" t="s">
        <v>7188</v>
      </c>
      <c r="C454" s="2" t="s">
        <v>7189</v>
      </c>
      <c r="D454" s="2" t="s">
        <v>7190</v>
      </c>
      <c r="E454" s="3">
        <v>42415</v>
      </c>
      <c r="F454" s="2" t="s">
        <v>7191</v>
      </c>
      <c r="G454" s="2" t="s">
        <v>7192</v>
      </c>
      <c r="H454" s="2" t="s">
        <v>2425</v>
      </c>
      <c r="I454" s="2" t="s">
        <v>2426</v>
      </c>
      <c r="J454" s="2"/>
      <c r="K454" s="2" t="str">
        <f>HYPERLINK("https://docs.wto.org/imrd/directdoc.asp?DDFDocuments/t/G/SPS/NJPN441.DOC")</f>
        <v>https://docs.wto.org/imrd/directdoc.asp?DDFDocuments/t/G/SPS/NJPN441.DOC</v>
      </c>
      <c r="L454" s="2" t="str">
        <f>HYPERLINK("https://docs.wto.org/imrd/directdoc.asp?DDFDocuments/u/G/SPS/NJPN441.DOC")</f>
        <v>https://docs.wto.org/imrd/directdoc.asp?DDFDocuments/u/G/SPS/NJPN441.DOC</v>
      </c>
      <c r="M454" s="2" t="str">
        <f>HYPERLINK("https://docs.wto.org/imrd/directdoc.asp?DDFDocuments/v/G/SPS/NJPN441.DOC")</f>
        <v>https://docs.wto.org/imrd/directdoc.asp?DDFDocuments/v/G/SPS/NJPN441.DOC</v>
      </c>
      <c r="N454" s="2" t="str">
        <f>HYPERLINK("http://www.epingalert.org/#/details/G/SPS/N/JPN/441")</f>
        <v>http://www.epingalert.org/#/details/G/SPS/N/JPN/441</v>
      </c>
      <c r="O454" s="2"/>
    </row>
    <row r="455" spans="1:15" ht="240" customHeight="1" outlineLevel="1" x14ac:dyDescent="0.25">
      <c r="A455" s="2" t="s">
        <v>225</v>
      </c>
      <c r="B455" s="2" t="s">
        <v>3082</v>
      </c>
      <c r="C455" s="2" t="s">
        <v>3083</v>
      </c>
      <c r="D455" s="2" t="s">
        <v>2494</v>
      </c>
      <c r="E455" s="3">
        <v>42412</v>
      </c>
      <c r="F455" s="2" t="s">
        <v>2430</v>
      </c>
      <c r="G455" s="2"/>
      <c r="H455" s="2" t="s">
        <v>2425</v>
      </c>
      <c r="I455" s="2" t="s">
        <v>2431</v>
      </c>
      <c r="J455" s="3">
        <v>42479</v>
      </c>
      <c r="K455" s="2" t="str">
        <f>HYPERLINK("https://docs.wto.org/imrd/directdoc.asp?DDFDocuments/t/G/SPS/NAUS381.DOC")</f>
        <v>https://docs.wto.org/imrd/directdoc.asp?DDFDocuments/t/G/SPS/NAUS381.DOC</v>
      </c>
      <c r="L455" s="2" t="str">
        <f>HYPERLINK("https://docs.wto.org/imrd/directdoc.asp?DDFDocuments/u/G/SPS/NAUS381.DOC")</f>
        <v>https://docs.wto.org/imrd/directdoc.asp?DDFDocuments/u/G/SPS/NAUS381.DOC</v>
      </c>
      <c r="M455" s="2" t="str">
        <f>HYPERLINK("https://docs.wto.org/imrd/directdoc.asp?DDFDocuments/v/G/SPS/NAUS381.DOC")</f>
        <v>https://docs.wto.org/imrd/directdoc.asp?DDFDocuments/v/G/SPS/NAUS381.DOC</v>
      </c>
      <c r="N455" s="2" t="str">
        <f>HYPERLINK("http://www.epingalert.org/#/details/G/SPS/N/AUS/381")</f>
        <v>http://www.epingalert.org/#/details/G/SPS/N/AUS/381</v>
      </c>
      <c r="O455" s="2"/>
    </row>
    <row r="456" spans="1:15" ht="240" customHeight="1" outlineLevel="1" x14ac:dyDescent="0.25">
      <c r="A456" s="2" t="s">
        <v>154</v>
      </c>
      <c r="B456" s="2" t="s">
        <v>3084</v>
      </c>
      <c r="C456" s="2" t="s">
        <v>3085</v>
      </c>
      <c r="D456" s="2" t="s">
        <v>3086</v>
      </c>
      <c r="E456" s="3">
        <v>42409</v>
      </c>
      <c r="F456" s="2" t="s">
        <v>3087</v>
      </c>
      <c r="G456" s="2"/>
      <c r="H456" s="2" t="s">
        <v>2425</v>
      </c>
      <c r="I456" s="2" t="s">
        <v>3088</v>
      </c>
      <c r="J456" s="3">
        <v>42469</v>
      </c>
      <c r="K456" s="2" t="str">
        <f>HYPERLINK("https://docs.wto.org/imrd/directdoc.asp?DDFDocuments/t/G/SPS/NIDN108.DOC")</f>
        <v>https://docs.wto.org/imrd/directdoc.asp?DDFDocuments/t/G/SPS/NIDN108.DOC</v>
      </c>
      <c r="L456" s="2" t="str">
        <f>HYPERLINK("https://docs.wto.org/imrd/directdoc.asp?DDFDocuments/u/G/SPS/NIDN108.DOC")</f>
        <v>https://docs.wto.org/imrd/directdoc.asp?DDFDocuments/u/G/SPS/NIDN108.DOC</v>
      </c>
      <c r="M456" s="2" t="str">
        <f>HYPERLINK("https://docs.wto.org/imrd/directdoc.asp?DDFDocuments/v/G/SPS/NIDN108.DOC")</f>
        <v>https://docs.wto.org/imrd/directdoc.asp?DDFDocuments/v/G/SPS/NIDN108.DOC</v>
      </c>
      <c r="N456" s="2" t="str">
        <f>HYPERLINK("http://www.epingalert.org/#/details/G/SPS/N/IDN/108")</f>
        <v>http://www.epingalert.org/#/details/G/SPS/N/IDN/108</v>
      </c>
      <c r="O456" s="2"/>
    </row>
    <row r="457" spans="1:15" ht="240" customHeight="1" outlineLevel="1" x14ac:dyDescent="0.25">
      <c r="A457" s="2" t="s">
        <v>18</v>
      </c>
      <c r="B457" s="2" t="s">
        <v>7197</v>
      </c>
      <c r="C457" s="2" t="s">
        <v>7198</v>
      </c>
      <c r="D457" s="2" t="s">
        <v>7199</v>
      </c>
      <c r="E457" s="3">
        <v>42409</v>
      </c>
      <c r="F457" s="2" t="s">
        <v>7200</v>
      </c>
      <c r="G457" s="2" t="s">
        <v>7201</v>
      </c>
      <c r="H457" s="2" t="s">
        <v>2425</v>
      </c>
      <c r="I457" s="2" t="s">
        <v>4254</v>
      </c>
      <c r="J457" s="3">
        <v>42429</v>
      </c>
      <c r="K457" s="2" t="str">
        <f>HYPERLINK("https://docs.wto.org/imrd/directdoc.asp?DDFDocuments/t/G/SPS/NUSA2824.DOC")</f>
        <v>https://docs.wto.org/imrd/directdoc.asp?DDFDocuments/t/G/SPS/NUSA2824.DOC</v>
      </c>
      <c r="L457" s="2" t="str">
        <f>HYPERLINK("https://docs.wto.org/imrd/directdoc.asp?DDFDocuments/u/G/SPS/NUSA2824.DOC")</f>
        <v>https://docs.wto.org/imrd/directdoc.asp?DDFDocuments/u/G/SPS/NUSA2824.DOC</v>
      </c>
      <c r="M457" s="2" t="str">
        <f>HYPERLINK("https://docs.wto.org/imrd/directdoc.asp?DDFDocuments/v/G/SPS/NUSA2824.DOC")</f>
        <v>https://docs.wto.org/imrd/directdoc.asp?DDFDocuments/v/G/SPS/NUSA2824.DOC</v>
      </c>
      <c r="N457" s="2" t="str">
        <f>HYPERLINK("http://www.epingalert.org/#/details/G/SPS/N/USA/2824")</f>
        <v>http://www.epingalert.org/#/details/G/SPS/N/USA/2824</v>
      </c>
      <c r="O457" s="2"/>
    </row>
    <row r="458" spans="1:15" ht="240" customHeight="1" outlineLevel="1" x14ac:dyDescent="0.25">
      <c r="A458" s="2" t="s">
        <v>3089</v>
      </c>
      <c r="B458" s="2" t="s">
        <v>3090</v>
      </c>
      <c r="C458" s="2"/>
      <c r="D458" s="2"/>
      <c r="E458" s="3">
        <v>42409</v>
      </c>
      <c r="F458" s="2"/>
      <c r="G458" s="2" t="s">
        <v>3091</v>
      </c>
      <c r="H458" s="2" t="s">
        <v>3092</v>
      </c>
      <c r="I458" s="2" t="s">
        <v>2649</v>
      </c>
      <c r="J458" s="2"/>
      <c r="K458" s="2" t="str">
        <f>HYPERLINK("https://docs.wto.org/imrd/directdoc.asp?DDFDocuments/t/G/SPS/NMAR44.DOC")</f>
        <v>https://docs.wto.org/imrd/directdoc.asp?DDFDocuments/t/G/SPS/NMAR44.DOC</v>
      </c>
      <c r="L458" s="2" t="str">
        <f>HYPERLINK("https://docs.wto.org/imrd/directdoc.asp?DDFDocuments/u/G/SPS/NMAR44.DOC")</f>
        <v>https://docs.wto.org/imrd/directdoc.asp?DDFDocuments/u/G/SPS/NMAR44.DOC</v>
      </c>
      <c r="M458" s="2" t="str">
        <f>HYPERLINK("https://docs.wto.org/imrd/directdoc.asp?DDFDocuments/v/G/SPS/NMAR44.DOC")</f>
        <v>https://docs.wto.org/imrd/directdoc.asp?DDFDocuments/v/G/SPS/NMAR44.DOC</v>
      </c>
      <c r="N458" s="2" t="str">
        <f>HYPERLINK("http://www.epingalert.org/#/details/G/SPS/N/MAR/44")</f>
        <v>http://www.epingalert.org/#/details/G/SPS/N/MAR/44</v>
      </c>
      <c r="O458" s="2"/>
    </row>
    <row r="459" spans="1:15" ht="240" customHeight="1" outlineLevel="1" x14ac:dyDescent="0.25">
      <c r="A459" s="2" t="s">
        <v>154</v>
      </c>
      <c r="B459" s="2" t="s">
        <v>7193</v>
      </c>
      <c r="C459" s="2"/>
      <c r="D459" s="2"/>
      <c r="E459" s="3">
        <v>42409</v>
      </c>
      <c r="F459" s="2" t="s">
        <v>7194</v>
      </c>
      <c r="G459" s="2" t="s">
        <v>7195</v>
      </c>
      <c r="H459" s="2" t="s">
        <v>7196</v>
      </c>
      <c r="I459" s="2" t="s">
        <v>7034</v>
      </c>
      <c r="J459" s="2"/>
      <c r="K459" s="2" t="str">
        <f>HYPERLINK("https://docs.wto.org/imrd/directdoc.asp?DDFDocuments/t/G/SPS/NIDN99A1.DOC")</f>
        <v>https://docs.wto.org/imrd/directdoc.asp?DDFDocuments/t/G/SPS/NIDN99A1.DOC</v>
      </c>
      <c r="L459" s="2" t="str">
        <f>HYPERLINK("https://docs.wto.org/imrd/directdoc.asp?DDFDocuments/u/G/SPS/NIDN99A1.DOC")</f>
        <v>https://docs.wto.org/imrd/directdoc.asp?DDFDocuments/u/G/SPS/NIDN99A1.DOC</v>
      </c>
      <c r="M459" s="2" t="str">
        <f>HYPERLINK("https://docs.wto.org/imrd/directdoc.asp?DDFDocuments/v/G/SPS/NIDN99A1.DOC")</f>
        <v>https://docs.wto.org/imrd/directdoc.asp?DDFDocuments/v/G/SPS/NIDN99A1.DOC</v>
      </c>
      <c r="N459" s="2" t="str">
        <f>HYPERLINK("http://www.epingalert.org/#/details/G/SPS/N/IDN/99/Add.1")</f>
        <v>http://www.epingalert.org/#/details/G/SPS/N/IDN/99/Add.1</v>
      </c>
      <c r="O459" s="2"/>
    </row>
    <row r="460" spans="1:15" ht="240" customHeight="1" outlineLevel="1" x14ac:dyDescent="0.25">
      <c r="A460" s="2" t="s">
        <v>121</v>
      </c>
      <c r="B460" s="2" t="s">
        <v>3093</v>
      </c>
      <c r="C460" s="2" t="s">
        <v>3047</v>
      </c>
      <c r="D460" s="2" t="s">
        <v>3094</v>
      </c>
      <c r="E460" s="3">
        <v>42408</v>
      </c>
      <c r="F460" s="2" t="s">
        <v>3095</v>
      </c>
      <c r="G460" s="2"/>
      <c r="H460" s="2" t="s">
        <v>2425</v>
      </c>
      <c r="I460" s="2" t="s">
        <v>2461</v>
      </c>
      <c r="J460" s="2"/>
      <c r="K460" s="2" t="str">
        <f>HYPERLINK("https://docs.wto.org/imrd/directdoc.asp?DDFDocuments/t/G/SPS/NIND129.DOC")</f>
        <v>https://docs.wto.org/imrd/directdoc.asp?DDFDocuments/t/G/SPS/NIND129.DOC</v>
      </c>
      <c r="L460" s="2" t="str">
        <f>HYPERLINK("https://docs.wto.org/imrd/directdoc.asp?DDFDocuments/u/G/SPS/NIND129.DOC")</f>
        <v>https://docs.wto.org/imrd/directdoc.asp?DDFDocuments/u/G/SPS/NIND129.DOC</v>
      </c>
      <c r="M460" s="2" t="str">
        <f>HYPERLINK("https://docs.wto.org/imrd/directdoc.asp?DDFDocuments/v/G/SPS/NIND129.DOC")</f>
        <v>https://docs.wto.org/imrd/directdoc.asp?DDFDocuments/v/G/SPS/NIND129.DOC</v>
      </c>
      <c r="N460" s="2" t="str">
        <f>HYPERLINK("http://www.epingalert.org/#/details/G/SPS/N/IND/129")</f>
        <v>http://www.epingalert.org/#/details/G/SPS/N/IND/129</v>
      </c>
      <c r="O460" s="2"/>
    </row>
    <row r="461" spans="1:15" ht="240" customHeight="1" outlineLevel="1" x14ac:dyDescent="0.25">
      <c r="A461" s="2" t="s">
        <v>121</v>
      </c>
      <c r="B461" s="2" t="s">
        <v>6513</v>
      </c>
      <c r="C461" s="2" t="s">
        <v>6514</v>
      </c>
      <c r="D461" s="2" t="s">
        <v>6515</v>
      </c>
      <c r="E461" s="3">
        <v>42405</v>
      </c>
      <c r="F461" s="2" t="s">
        <v>6516</v>
      </c>
      <c r="G461" s="2" t="s">
        <v>2049</v>
      </c>
      <c r="H461" s="2" t="s">
        <v>2425</v>
      </c>
      <c r="I461" s="2" t="s">
        <v>6503</v>
      </c>
      <c r="J461" s="3">
        <v>42465</v>
      </c>
      <c r="K461" s="2" t="str">
        <f>HYPERLINK("https://docs.wto.org/imrd/directdoc.asp?DDFDocuments/t/G/SPS/NIND128.DOC")</f>
        <v>https://docs.wto.org/imrd/directdoc.asp?DDFDocuments/t/G/SPS/NIND128.DOC</v>
      </c>
      <c r="L461" s="2" t="str">
        <f>HYPERLINK("https://docs.wto.org/imrd/directdoc.asp?DDFDocuments/u/G/SPS/NIND128.DOC")</f>
        <v>https://docs.wto.org/imrd/directdoc.asp?DDFDocuments/u/G/SPS/NIND128.DOC</v>
      </c>
      <c r="M461" s="2" t="str">
        <f>HYPERLINK("https://docs.wto.org/imrd/directdoc.asp?DDFDocuments/v/G/SPS/NIND128.DOC")</f>
        <v>https://docs.wto.org/imrd/directdoc.asp?DDFDocuments/v/G/SPS/NIND128.DOC</v>
      </c>
      <c r="N461" s="2" t="str">
        <f>HYPERLINK("http://www.epingalert.org/#/details/G/SPS/N/IND/128")</f>
        <v>http://www.epingalert.org/#/details/G/SPS/N/IND/128</v>
      </c>
      <c r="O461" s="2"/>
    </row>
    <row r="462" spans="1:15" ht="240" customHeight="1" outlineLevel="1" x14ac:dyDescent="0.25">
      <c r="A462" s="2" t="s">
        <v>31</v>
      </c>
      <c r="B462" s="2" t="s">
        <v>3096</v>
      </c>
      <c r="C462" s="2" t="s">
        <v>3097</v>
      </c>
      <c r="D462" s="2" t="s">
        <v>3098</v>
      </c>
      <c r="E462" s="3">
        <v>42404</v>
      </c>
      <c r="F462" s="2" t="s">
        <v>3099</v>
      </c>
      <c r="G462" s="2"/>
      <c r="H462" s="2" t="s">
        <v>2425</v>
      </c>
      <c r="I462" s="2" t="s">
        <v>2620</v>
      </c>
      <c r="J462" s="3">
        <v>42464</v>
      </c>
      <c r="K462" s="2" t="str">
        <f>HYPERLINK("https://docs.wto.org/imrd/directdoc.asp?DDFDocuments/t/G/SPS/NTHA235.DOC")</f>
        <v>https://docs.wto.org/imrd/directdoc.asp?DDFDocuments/t/G/SPS/NTHA235.DOC</v>
      </c>
      <c r="L462" s="2" t="str">
        <f>HYPERLINK("https://docs.wto.org/imrd/directdoc.asp?DDFDocuments/u/G/SPS/NTHA235.DOC")</f>
        <v>https://docs.wto.org/imrd/directdoc.asp?DDFDocuments/u/G/SPS/NTHA235.DOC</v>
      </c>
      <c r="M462" s="2" t="str">
        <f>HYPERLINK("https://docs.wto.org/imrd/directdoc.asp?DDFDocuments/v/G/SPS/NTHA235.DOC")</f>
        <v>https://docs.wto.org/imrd/directdoc.asp?DDFDocuments/v/G/SPS/NTHA235.DOC</v>
      </c>
      <c r="N462" s="2" t="str">
        <f>HYPERLINK("http://www.epingalert.org/#/details/G/SPS/N/THA/235")</f>
        <v>http://www.epingalert.org/#/details/G/SPS/N/THA/235</v>
      </c>
      <c r="O462" s="2"/>
    </row>
    <row r="463" spans="1:15" ht="240" customHeight="1" outlineLevel="1" x14ac:dyDescent="0.25">
      <c r="A463" s="2" t="s">
        <v>121</v>
      </c>
      <c r="B463" s="2" t="s">
        <v>7203</v>
      </c>
      <c r="C463" s="2" t="s">
        <v>7204</v>
      </c>
      <c r="D463" s="2" t="s">
        <v>7205</v>
      </c>
      <c r="E463" s="3">
        <v>42404</v>
      </c>
      <c r="F463" s="2" t="s">
        <v>7007</v>
      </c>
      <c r="G463" s="2" t="s">
        <v>2039</v>
      </c>
      <c r="H463" s="2" t="s">
        <v>2467</v>
      </c>
      <c r="I463" s="2" t="s">
        <v>7206</v>
      </c>
      <c r="J463" s="3">
        <v>42464</v>
      </c>
      <c r="K463" s="2" t="str">
        <f>HYPERLINK("https://docs.wto.org/imrd/directdoc.asp?DDFDocuments/t/G/SPS/NIND127.DOC")</f>
        <v>https://docs.wto.org/imrd/directdoc.asp?DDFDocuments/t/G/SPS/NIND127.DOC</v>
      </c>
      <c r="L463" s="2" t="str">
        <f>HYPERLINK("https://docs.wto.org/imrd/directdoc.asp?DDFDocuments/u/G/SPS/NIND127.DOC")</f>
        <v>https://docs.wto.org/imrd/directdoc.asp?DDFDocuments/u/G/SPS/NIND127.DOC</v>
      </c>
      <c r="M463" s="2" t="str">
        <f>HYPERLINK("https://docs.wto.org/imrd/directdoc.asp?DDFDocuments/v/G/SPS/NIND127.DOC")</f>
        <v>https://docs.wto.org/imrd/directdoc.asp?DDFDocuments/v/G/SPS/NIND127.DOC</v>
      </c>
      <c r="N463" s="2" t="str">
        <f>HYPERLINK("http://www.epingalert.org/#/details/G/SPS/N/IND/127")</f>
        <v>http://www.epingalert.org/#/details/G/SPS/N/IND/127</v>
      </c>
      <c r="O463" s="2"/>
    </row>
    <row r="464" spans="1:15" ht="240" customHeight="1" outlineLevel="1" x14ac:dyDescent="0.25">
      <c r="A464" s="2" t="s">
        <v>1042</v>
      </c>
      <c r="B464" s="2" t="s">
        <v>7210</v>
      </c>
      <c r="C464" s="2" t="s">
        <v>7211</v>
      </c>
      <c r="D464" s="2" t="s">
        <v>7212</v>
      </c>
      <c r="E464" s="3">
        <v>42403</v>
      </c>
      <c r="F464" s="2" t="s">
        <v>7213</v>
      </c>
      <c r="G464" s="2" t="s">
        <v>7214</v>
      </c>
      <c r="H464" s="2" t="s">
        <v>2425</v>
      </c>
      <c r="I464" s="2" t="s">
        <v>7215</v>
      </c>
      <c r="J464" s="3">
        <v>42464</v>
      </c>
      <c r="K464" s="2" t="str">
        <f>HYPERLINK("https://docs.wto.org/imrd/directdoc.asp?DDFDocuments/t/G/SPS/NPHL321.DOC")</f>
        <v>https://docs.wto.org/imrd/directdoc.asp?DDFDocuments/t/G/SPS/NPHL321.DOC</v>
      </c>
      <c r="L464" s="2" t="str">
        <f>HYPERLINK("https://docs.wto.org/imrd/directdoc.asp?DDFDocuments/u/G/SPS/NPHL321.DOC")</f>
        <v>https://docs.wto.org/imrd/directdoc.asp?DDFDocuments/u/G/SPS/NPHL321.DOC</v>
      </c>
      <c r="M464" s="2" t="str">
        <f>HYPERLINK("https://docs.wto.org/imrd/directdoc.asp?DDFDocuments/v/G/SPS/NPHL321.DOC")</f>
        <v>https://docs.wto.org/imrd/directdoc.asp?DDFDocuments/v/G/SPS/NPHL321.DOC</v>
      </c>
      <c r="N464" s="2" t="str">
        <f>HYPERLINK("http://www.epingalert.org/#/details/G/SPS/N/PHL/321")</f>
        <v>http://www.epingalert.org/#/details/G/SPS/N/PHL/321</v>
      </c>
      <c r="O464" s="2"/>
    </row>
    <row r="465" spans="1:15" ht="240" customHeight="1" outlineLevel="1" x14ac:dyDescent="0.25">
      <c r="A465" s="2" t="s">
        <v>115</v>
      </c>
      <c r="B465" s="2" t="s">
        <v>3116</v>
      </c>
      <c r="C465" s="2" t="s">
        <v>3117</v>
      </c>
      <c r="D465" s="2" t="s">
        <v>3118</v>
      </c>
      <c r="E465" s="3">
        <v>42403</v>
      </c>
      <c r="F465" s="2" t="s">
        <v>3119</v>
      </c>
      <c r="G465" s="2" t="s">
        <v>3120</v>
      </c>
      <c r="H465" s="2" t="s">
        <v>2425</v>
      </c>
      <c r="I465" s="2" t="s">
        <v>2597</v>
      </c>
      <c r="J465" s="3">
        <v>42463</v>
      </c>
      <c r="K465" s="2" t="str">
        <f>HYPERLINK("https://docs.wto.org/imrd/directdoc.asp?DDFDocuments/t/G/SPS/NJPN440.DOC")</f>
        <v>https://docs.wto.org/imrd/directdoc.asp?DDFDocuments/t/G/SPS/NJPN440.DOC</v>
      </c>
      <c r="L465" s="2" t="str">
        <f>HYPERLINK("https://docs.wto.org/imrd/directdoc.asp?DDFDocuments/u/G/SPS/NJPN440.DOC")</f>
        <v>https://docs.wto.org/imrd/directdoc.asp?DDFDocuments/u/G/SPS/NJPN440.DOC</v>
      </c>
      <c r="M465" s="2" t="str">
        <f>HYPERLINK("https://docs.wto.org/imrd/directdoc.asp?DDFDocuments/v/G/SPS/NJPN440.DOC")</f>
        <v>https://docs.wto.org/imrd/directdoc.asp?DDFDocuments/v/G/SPS/NJPN440.DOC</v>
      </c>
      <c r="N465" s="2" t="str">
        <f>HYPERLINK("http://www.epingalert.org/#/details/G/SPS/N/JPN/440")</f>
        <v>http://www.epingalert.org/#/details/G/SPS/N/JPN/440</v>
      </c>
      <c r="O465" s="2"/>
    </row>
    <row r="466" spans="1:15" ht="240" customHeight="1" outlineLevel="1" x14ac:dyDescent="0.25">
      <c r="A466" s="2" t="s">
        <v>42</v>
      </c>
      <c r="B466" s="2" t="s">
        <v>3100</v>
      </c>
      <c r="C466" s="2" t="s">
        <v>3101</v>
      </c>
      <c r="D466" s="2" t="s">
        <v>3102</v>
      </c>
      <c r="E466" s="3">
        <v>42403</v>
      </c>
      <c r="F466" s="2" t="s">
        <v>3102</v>
      </c>
      <c r="G466" s="2"/>
      <c r="H466" s="2" t="s">
        <v>2425</v>
      </c>
      <c r="I466" s="2" t="s">
        <v>2453</v>
      </c>
      <c r="J466" s="3">
        <v>42429</v>
      </c>
      <c r="K466" s="2" t="str">
        <f>HYPERLINK("https://docs.wto.org/imrd/directdoc.asp?DDFDocuments/t/G/SPS/NBRA1098.DOC")</f>
        <v>https://docs.wto.org/imrd/directdoc.asp?DDFDocuments/t/G/SPS/NBRA1098.DOC</v>
      </c>
      <c r="L466" s="2" t="str">
        <f>HYPERLINK("https://docs.wto.org/imrd/directdoc.asp?DDFDocuments/u/G/SPS/NBRA1098.DOC")</f>
        <v>https://docs.wto.org/imrd/directdoc.asp?DDFDocuments/u/G/SPS/NBRA1098.DOC</v>
      </c>
      <c r="M466" s="2" t="str">
        <f>HYPERLINK("https://docs.wto.org/imrd/directdoc.asp?DDFDocuments/v/G/SPS/NBRA1098.DOC")</f>
        <v>https://docs.wto.org/imrd/directdoc.asp?DDFDocuments/v/G/SPS/NBRA1098.DOC</v>
      </c>
      <c r="N466" s="2" t="str">
        <f>HYPERLINK("http://www.epingalert.org/#/details/G/SPS/N/BRA/1098")</f>
        <v>http://www.epingalert.org/#/details/G/SPS/N/BRA/1098</v>
      </c>
      <c r="O466" s="2"/>
    </row>
    <row r="467" spans="1:15" ht="240" customHeight="1" outlineLevel="1" x14ac:dyDescent="0.25">
      <c r="A467" s="2" t="s">
        <v>42</v>
      </c>
      <c r="B467" s="2" t="s">
        <v>3103</v>
      </c>
      <c r="C467" s="2" t="s">
        <v>3104</v>
      </c>
      <c r="D467" s="2" t="s">
        <v>3105</v>
      </c>
      <c r="E467" s="3">
        <v>42403</v>
      </c>
      <c r="F467" s="2" t="s">
        <v>3105</v>
      </c>
      <c r="G467" s="2"/>
      <c r="H467" s="2" t="s">
        <v>2425</v>
      </c>
      <c r="I467" s="2" t="s">
        <v>2453</v>
      </c>
      <c r="J467" s="3">
        <v>42429</v>
      </c>
      <c r="K467" s="2" t="str">
        <f>HYPERLINK("https://docs.wto.org/imrd/directdoc.asp?DDFDocuments/t/G/SPS/NBRA1095.DOC")</f>
        <v>https://docs.wto.org/imrd/directdoc.asp?DDFDocuments/t/G/SPS/NBRA1095.DOC</v>
      </c>
      <c r="L467" s="2" t="str">
        <f>HYPERLINK("https://docs.wto.org/imrd/directdoc.asp?DDFDocuments/u/G/SPS/NBRA1095.DOC")</f>
        <v>https://docs.wto.org/imrd/directdoc.asp?DDFDocuments/u/G/SPS/NBRA1095.DOC</v>
      </c>
      <c r="M467" s="2" t="str">
        <f>HYPERLINK("https://docs.wto.org/imrd/directdoc.asp?DDFDocuments/v/G/SPS/NBRA1095.DOC")</f>
        <v>https://docs.wto.org/imrd/directdoc.asp?DDFDocuments/v/G/SPS/NBRA1095.DOC</v>
      </c>
      <c r="N467" s="2" t="str">
        <f>HYPERLINK("http://www.epingalert.org/#/details/G/SPS/N/BRA/1095")</f>
        <v>http://www.epingalert.org/#/details/G/SPS/N/BRA/1095</v>
      </c>
      <c r="O467" s="2"/>
    </row>
    <row r="468" spans="1:15" ht="240" customHeight="1" outlineLevel="1" x14ac:dyDescent="0.25">
      <c r="A468" s="2" t="s">
        <v>42</v>
      </c>
      <c r="B468" s="2" t="s">
        <v>3106</v>
      </c>
      <c r="C468" s="2" t="s">
        <v>3107</v>
      </c>
      <c r="D468" s="2" t="s">
        <v>3108</v>
      </c>
      <c r="E468" s="3">
        <v>42403</v>
      </c>
      <c r="F468" s="2" t="s">
        <v>3108</v>
      </c>
      <c r="G468" s="2"/>
      <c r="H468" s="2" t="s">
        <v>2425</v>
      </c>
      <c r="I468" s="2" t="s">
        <v>2453</v>
      </c>
      <c r="J468" s="3">
        <v>42429</v>
      </c>
      <c r="K468" s="2" t="str">
        <f>HYPERLINK("https://docs.wto.org/imrd/directdoc.asp?DDFDocuments/t/G/SPS/NBRA1099.DOC")</f>
        <v>https://docs.wto.org/imrd/directdoc.asp?DDFDocuments/t/G/SPS/NBRA1099.DOC</v>
      </c>
      <c r="L468" s="2" t="str">
        <f>HYPERLINK("https://docs.wto.org/imrd/directdoc.asp?DDFDocuments/u/G/SPS/NBRA1099.DOC")</f>
        <v>https://docs.wto.org/imrd/directdoc.asp?DDFDocuments/u/G/SPS/NBRA1099.DOC</v>
      </c>
      <c r="M468" s="2" t="str">
        <f>HYPERLINK("https://docs.wto.org/imrd/directdoc.asp?DDFDocuments/v/G/SPS/NBRA1099.DOC")</f>
        <v>https://docs.wto.org/imrd/directdoc.asp?DDFDocuments/v/G/SPS/NBRA1099.DOC</v>
      </c>
      <c r="N468" s="2" t="str">
        <f>HYPERLINK("http://www.epingalert.org/#/details/G/SPS/N/BRA/1099")</f>
        <v>http://www.epingalert.org/#/details/G/SPS/N/BRA/1099</v>
      </c>
      <c r="O468" s="2"/>
    </row>
    <row r="469" spans="1:15" ht="240" customHeight="1" outlineLevel="1" x14ac:dyDescent="0.25">
      <c r="A469" s="2" t="s">
        <v>42</v>
      </c>
      <c r="B469" s="2" t="s">
        <v>3109</v>
      </c>
      <c r="C469" s="2" t="s">
        <v>3110</v>
      </c>
      <c r="D469" s="2" t="s">
        <v>3111</v>
      </c>
      <c r="E469" s="3">
        <v>42403</v>
      </c>
      <c r="F469" s="2" t="s">
        <v>3111</v>
      </c>
      <c r="G469" s="2"/>
      <c r="H469" s="2" t="s">
        <v>2425</v>
      </c>
      <c r="I469" s="2" t="s">
        <v>2453</v>
      </c>
      <c r="J469" s="3">
        <v>42429</v>
      </c>
      <c r="K469" s="2" t="str">
        <f>HYPERLINK("https://docs.wto.org/imrd/directdoc.asp?DDFDocuments/t/G/SPS/NBRA1097.DOC")</f>
        <v>https://docs.wto.org/imrd/directdoc.asp?DDFDocuments/t/G/SPS/NBRA1097.DOC</v>
      </c>
      <c r="L469" s="2" t="str">
        <f>HYPERLINK("https://docs.wto.org/imrd/directdoc.asp?DDFDocuments/u/G/SPS/NBRA1097.DOC")</f>
        <v>https://docs.wto.org/imrd/directdoc.asp?DDFDocuments/u/G/SPS/NBRA1097.DOC</v>
      </c>
      <c r="M469" s="2" t="str">
        <f>HYPERLINK("https://docs.wto.org/imrd/directdoc.asp?DDFDocuments/v/G/SPS/NBRA1097.DOC")</f>
        <v>https://docs.wto.org/imrd/directdoc.asp?DDFDocuments/v/G/SPS/NBRA1097.DOC</v>
      </c>
      <c r="N469" s="2" t="str">
        <f>HYPERLINK("http://www.epingalert.org/#/details/G/SPS/N/BRA/1097")</f>
        <v>http://www.epingalert.org/#/details/G/SPS/N/BRA/1097</v>
      </c>
      <c r="O469" s="2"/>
    </row>
    <row r="470" spans="1:15" ht="240" customHeight="1" outlineLevel="1" x14ac:dyDescent="0.25">
      <c r="A470" s="2" t="s">
        <v>42</v>
      </c>
      <c r="B470" s="2" t="s">
        <v>3112</v>
      </c>
      <c r="C470" s="2" t="s">
        <v>3113</v>
      </c>
      <c r="D470" s="2" t="s">
        <v>3114</v>
      </c>
      <c r="E470" s="3">
        <v>42403</v>
      </c>
      <c r="F470" s="2" t="s">
        <v>3115</v>
      </c>
      <c r="G470" s="2"/>
      <c r="H470" s="2" t="s">
        <v>2425</v>
      </c>
      <c r="I470" s="2" t="s">
        <v>2453</v>
      </c>
      <c r="J470" s="3">
        <v>42429</v>
      </c>
      <c r="K470" s="2" t="str">
        <f>HYPERLINK("https://docs.wto.org/imrd/directdoc.asp?DDFDocuments/t/G/SPS/NBRA1096.DOC")</f>
        <v>https://docs.wto.org/imrd/directdoc.asp?DDFDocuments/t/G/SPS/NBRA1096.DOC</v>
      </c>
      <c r="L470" s="2" t="str">
        <f>HYPERLINK("https://docs.wto.org/imrd/directdoc.asp?DDFDocuments/u/G/SPS/NBRA1096.DOC")</f>
        <v>https://docs.wto.org/imrd/directdoc.asp?DDFDocuments/u/G/SPS/NBRA1096.DOC</v>
      </c>
      <c r="M470" s="2" t="str">
        <f>HYPERLINK("https://docs.wto.org/imrd/directdoc.asp?DDFDocuments/v/G/SPS/NBRA1096.DOC")</f>
        <v>https://docs.wto.org/imrd/directdoc.asp?DDFDocuments/v/G/SPS/NBRA1096.DOC</v>
      </c>
      <c r="N470" s="2" t="str">
        <f>HYPERLINK("http://www.epingalert.org/#/details/G/SPS/N/BRA/1096")</f>
        <v>http://www.epingalert.org/#/details/G/SPS/N/BRA/1096</v>
      </c>
      <c r="O470" s="2"/>
    </row>
    <row r="471" spans="1:15" ht="240" customHeight="1" outlineLevel="1" x14ac:dyDescent="0.25">
      <c r="A471" s="2" t="s">
        <v>42</v>
      </c>
      <c r="B471" s="2" t="s">
        <v>3121</v>
      </c>
      <c r="C471" s="2" t="s">
        <v>3122</v>
      </c>
      <c r="D471" s="2" t="s">
        <v>3123</v>
      </c>
      <c r="E471" s="3">
        <v>42403</v>
      </c>
      <c r="F471" s="2" t="s">
        <v>3123</v>
      </c>
      <c r="G471" s="2"/>
      <c r="H471" s="2" t="s">
        <v>2425</v>
      </c>
      <c r="I471" s="2" t="s">
        <v>2453</v>
      </c>
      <c r="J471" s="3">
        <v>42429</v>
      </c>
      <c r="K471" s="2" t="str">
        <f>HYPERLINK("https://docs.wto.org/imrd/directdoc.asp?DDFDocuments/t/G/SPS/NBRA1094.DOC")</f>
        <v>https://docs.wto.org/imrd/directdoc.asp?DDFDocuments/t/G/SPS/NBRA1094.DOC</v>
      </c>
      <c r="L471" s="2" t="str">
        <f>HYPERLINK("https://docs.wto.org/imrd/directdoc.asp?DDFDocuments/u/G/SPS/NBRA1094.DOC")</f>
        <v>https://docs.wto.org/imrd/directdoc.asp?DDFDocuments/u/G/SPS/NBRA1094.DOC</v>
      </c>
      <c r="M471" s="2" t="str">
        <f>HYPERLINK("https://docs.wto.org/imrd/directdoc.asp?DDFDocuments/v/G/SPS/NBRA1094.DOC")</f>
        <v>https://docs.wto.org/imrd/directdoc.asp?DDFDocuments/v/G/SPS/NBRA1094.DOC</v>
      </c>
      <c r="N471" s="2" t="str">
        <f>HYPERLINK("http://www.epingalert.org/#/details/G/SPS/N/BRA/1094")</f>
        <v>http://www.epingalert.org/#/details/G/SPS/N/BRA/1094</v>
      </c>
      <c r="O471" s="2"/>
    </row>
    <row r="472" spans="1:15" ht="240" customHeight="1" outlineLevel="1" x14ac:dyDescent="0.25">
      <c r="A472" s="2" t="s">
        <v>1042</v>
      </c>
      <c r="B472" s="2" t="s">
        <v>7207</v>
      </c>
      <c r="C472" s="2"/>
      <c r="D472" s="2"/>
      <c r="E472" s="3">
        <v>42403</v>
      </c>
      <c r="F472" s="2" t="s">
        <v>7208</v>
      </c>
      <c r="G472" s="2" t="s">
        <v>7209</v>
      </c>
      <c r="H472" s="2" t="s">
        <v>2467</v>
      </c>
      <c r="I472" s="2" t="s">
        <v>7034</v>
      </c>
      <c r="J472" s="2"/>
      <c r="K472" s="2" t="str">
        <f>HYPERLINK("https://docs.wto.org/imrd/directdoc.asp?DDFDocuments/t/G/SPS/NPHL96A1.DOC")</f>
        <v>https://docs.wto.org/imrd/directdoc.asp?DDFDocuments/t/G/SPS/NPHL96A1.DOC</v>
      </c>
      <c r="L472" s="2" t="str">
        <f>HYPERLINK("https://docs.wto.org/imrd/directdoc.asp?DDFDocuments/u/G/SPS/NPHL96A1.DOC")</f>
        <v>https://docs.wto.org/imrd/directdoc.asp?DDFDocuments/u/G/SPS/NPHL96A1.DOC</v>
      </c>
      <c r="M472" s="2" t="str">
        <f>HYPERLINK("https://docs.wto.org/imrd/directdoc.asp?DDFDocuments/v/G/SPS/NPHL96A1.DOC")</f>
        <v>https://docs.wto.org/imrd/directdoc.asp?DDFDocuments/v/G/SPS/NPHL96A1.DOC</v>
      </c>
      <c r="N472" s="2" t="str">
        <f>HYPERLINK("http://www.epingalert.org/#/details/G/SPS/N/PHL/96/Add.1")</f>
        <v>http://www.epingalert.org/#/details/G/SPS/N/PHL/96/Add.1</v>
      </c>
      <c r="O472" s="2"/>
    </row>
    <row r="473" spans="1:15" ht="240" customHeight="1" outlineLevel="1" x14ac:dyDescent="0.25">
      <c r="A473" s="2" t="s">
        <v>42</v>
      </c>
      <c r="B473" s="2" t="s">
        <v>3124</v>
      </c>
      <c r="C473" s="2" t="s">
        <v>3125</v>
      </c>
      <c r="D473" s="2" t="s">
        <v>3126</v>
      </c>
      <c r="E473" s="3">
        <v>42401</v>
      </c>
      <c r="F473" s="2" t="s">
        <v>3126</v>
      </c>
      <c r="G473" s="2"/>
      <c r="H473" s="2" t="s">
        <v>2425</v>
      </c>
      <c r="I473" s="2" t="s">
        <v>2453</v>
      </c>
      <c r="J473" s="3">
        <v>42429</v>
      </c>
      <c r="K473" s="2" t="str">
        <f>HYPERLINK("https://docs.wto.org/imrd/directdoc.asp?DDFDocuments/t/G/SPS/NBRA1092.DOC")</f>
        <v>https://docs.wto.org/imrd/directdoc.asp?DDFDocuments/t/G/SPS/NBRA1092.DOC</v>
      </c>
      <c r="L473" s="2" t="str">
        <f>HYPERLINK("https://docs.wto.org/imrd/directdoc.asp?DDFDocuments/u/G/SPS/NBRA1092.DOC")</f>
        <v>https://docs.wto.org/imrd/directdoc.asp?DDFDocuments/u/G/SPS/NBRA1092.DOC</v>
      </c>
      <c r="M473" s="2" t="str">
        <f>HYPERLINK("https://docs.wto.org/imrd/directdoc.asp?DDFDocuments/v/G/SPS/NBRA1092.DOC")</f>
        <v>https://docs.wto.org/imrd/directdoc.asp?DDFDocuments/v/G/SPS/NBRA1092.DOC</v>
      </c>
      <c r="N473" s="2" t="str">
        <f>HYPERLINK("http://www.epingalert.org/#/details/G/SPS/N/BRA/1092")</f>
        <v>http://www.epingalert.org/#/details/G/SPS/N/BRA/1092</v>
      </c>
      <c r="O473" s="2"/>
    </row>
    <row r="474" spans="1:15" ht="240" customHeight="1" outlineLevel="1" x14ac:dyDescent="0.25">
      <c r="A474" s="2" t="s">
        <v>380</v>
      </c>
      <c r="B474" s="2" t="s">
        <v>3127</v>
      </c>
      <c r="C474" s="2" t="s">
        <v>3128</v>
      </c>
      <c r="D474" s="2" t="s">
        <v>3129</v>
      </c>
      <c r="E474" s="3">
        <v>42398</v>
      </c>
      <c r="F474" s="2" t="s">
        <v>3130</v>
      </c>
      <c r="G474" s="2"/>
      <c r="H474" s="2" t="s">
        <v>2425</v>
      </c>
      <c r="I474" s="2" t="s">
        <v>2426</v>
      </c>
      <c r="J474" s="3">
        <v>42458</v>
      </c>
      <c r="K474" s="2" t="str">
        <f>HYPERLINK("https://docs.wto.org/imrd/directdoc.asp?DDFDocuments/t/G/SPS/NCHN1043.DOC")</f>
        <v>https://docs.wto.org/imrd/directdoc.asp?DDFDocuments/t/G/SPS/NCHN1043.DOC</v>
      </c>
      <c r="L474" s="2" t="str">
        <f>HYPERLINK("https://docs.wto.org/imrd/directdoc.asp?DDFDocuments/u/G/SPS/NCHN1043.DOC")</f>
        <v>https://docs.wto.org/imrd/directdoc.asp?DDFDocuments/u/G/SPS/NCHN1043.DOC</v>
      </c>
      <c r="M474" s="2" t="str">
        <f>HYPERLINK("https://docs.wto.org/imrd/directdoc.asp?DDFDocuments/v/G/SPS/NCHN1043.DOC")</f>
        <v>https://docs.wto.org/imrd/directdoc.asp?DDFDocuments/v/G/SPS/NCHN1043.DOC</v>
      </c>
      <c r="N474" s="2" t="str">
        <f>HYPERLINK("http://www.epingalert.org/#/details/G/SPS/N/CHN/1043")</f>
        <v>http://www.epingalert.org/#/details/G/SPS/N/CHN/1043</v>
      </c>
      <c r="O474" s="2"/>
    </row>
    <row r="475" spans="1:15" ht="240" customHeight="1" outlineLevel="1" x14ac:dyDescent="0.25">
      <c r="A475" s="2" t="s">
        <v>380</v>
      </c>
      <c r="B475" s="2" t="s">
        <v>3131</v>
      </c>
      <c r="C475" s="2" t="s">
        <v>3132</v>
      </c>
      <c r="D475" s="2" t="s">
        <v>3133</v>
      </c>
      <c r="E475" s="3">
        <v>42398</v>
      </c>
      <c r="F475" s="2" t="s">
        <v>3134</v>
      </c>
      <c r="G475" s="2"/>
      <c r="H475" s="2" t="s">
        <v>2425</v>
      </c>
      <c r="I475" s="2" t="s">
        <v>2426</v>
      </c>
      <c r="J475" s="3">
        <v>42458</v>
      </c>
      <c r="K475" s="2" t="str">
        <f>HYPERLINK("https://docs.wto.org/imrd/directdoc.asp?DDFDocuments/t/G/SPS/NCHN1044.DOC")</f>
        <v>https://docs.wto.org/imrd/directdoc.asp?DDFDocuments/t/G/SPS/NCHN1044.DOC</v>
      </c>
      <c r="L475" s="2" t="str">
        <f>HYPERLINK("https://docs.wto.org/imrd/directdoc.asp?DDFDocuments/u/G/SPS/NCHN1044.DOC")</f>
        <v>https://docs.wto.org/imrd/directdoc.asp?DDFDocuments/u/G/SPS/NCHN1044.DOC</v>
      </c>
      <c r="M475" s="2" t="str">
        <f>HYPERLINK("https://docs.wto.org/imrd/directdoc.asp?DDFDocuments/v/G/SPS/NCHN1044.DOC")</f>
        <v>https://docs.wto.org/imrd/directdoc.asp?DDFDocuments/v/G/SPS/NCHN1044.DOC</v>
      </c>
      <c r="N475" s="2" t="str">
        <f>HYPERLINK("http://www.epingalert.org/#/details/G/SPS/N/CHN/1044")</f>
        <v>http://www.epingalert.org/#/details/G/SPS/N/CHN/1044</v>
      </c>
      <c r="O475" s="2"/>
    </row>
    <row r="476" spans="1:15" ht="240" customHeight="1" outlineLevel="1" x14ac:dyDescent="0.25">
      <c r="A476" s="2" t="s">
        <v>380</v>
      </c>
      <c r="B476" s="2" t="s">
        <v>3135</v>
      </c>
      <c r="C476" s="2" t="s">
        <v>3136</v>
      </c>
      <c r="D476" s="2" t="s">
        <v>3137</v>
      </c>
      <c r="E476" s="3">
        <v>42398</v>
      </c>
      <c r="F476" s="2" t="s">
        <v>3138</v>
      </c>
      <c r="G476" s="2"/>
      <c r="H476" s="2" t="s">
        <v>2425</v>
      </c>
      <c r="I476" s="2" t="s">
        <v>2426</v>
      </c>
      <c r="J476" s="3">
        <v>42458</v>
      </c>
      <c r="K476" s="2" t="str">
        <f>HYPERLINK("https://docs.wto.org/imrd/directdoc.asp?DDFDocuments/t/G/SPS/NCHN1046.DOC")</f>
        <v>https://docs.wto.org/imrd/directdoc.asp?DDFDocuments/t/G/SPS/NCHN1046.DOC</v>
      </c>
      <c r="L476" s="2" t="str">
        <f>HYPERLINK("https://docs.wto.org/imrd/directdoc.asp?DDFDocuments/u/G/SPS/NCHN1046.DOC")</f>
        <v>https://docs.wto.org/imrd/directdoc.asp?DDFDocuments/u/G/SPS/NCHN1046.DOC</v>
      </c>
      <c r="M476" s="2" t="str">
        <f>HYPERLINK("https://docs.wto.org/imrd/directdoc.asp?DDFDocuments/v/G/SPS/NCHN1046.DOC")</f>
        <v>https://docs.wto.org/imrd/directdoc.asp?DDFDocuments/v/G/SPS/NCHN1046.DOC</v>
      </c>
      <c r="N476" s="2" t="str">
        <f>HYPERLINK("http://www.epingalert.org/#/details/G/SPS/N/CHN/1046")</f>
        <v>http://www.epingalert.org/#/details/G/SPS/N/CHN/1046</v>
      </c>
      <c r="O476" s="2"/>
    </row>
    <row r="477" spans="1:15" ht="240" customHeight="1" outlineLevel="1" x14ac:dyDescent="0.25">
      <c r="A477" s="2" t="s">
        <v>380</v>
      </c>
      <c r="B477" s="2" t="s">
        <v>3139</v>
      </c>
      <c r="C477" s="2" t="s">
        <v>3140</v>
      </c>
      <c r="D477" s="2" t="s">
        <v>3141</v>
      </c>
      <c r="E477" s="3">
        <v>42398</v>
      </c>
      <c r="F477" s="2" t="s">
        <v>3142</v>
      </c>
      <c r="G477" s="2"/>
      <c r="H477" s="2" t="s">
        <v>2425</v>
      </c>
      <c r="I477" s="2" t="s">
        <v>2426</v>
      </c>
      <c r="J477" s="3">
        <v>42458</v>
      </c>
      <c r="K477" s="2" t="str">
        <f>HYPERLINK("https://docs.wto.org/imrd/directdoc.asp?DDFDocuments/t/G/SPS/NCHN1047.DOC")</f>
        <v>https://docs.wto.org/imrd/directdoc.asp?DDFDocuments/t/G/SPS/NCHN1047.DOC</v>
      </c>
      <c r="L477" s="2" t="str">
        <f>HYPERLINK("https://docs.wto.org/imrd/directdoc.asp?DDFDocuments/u/G/SPS/NCHN1047.DOC")</f>
        <v>https://docs.wto.org/imrd/directdoc.asp?DDFDocuments/u/G/SPS/NCHN1047.DOC</v>
      </c>
      <c r="M477" s="2" t="str">
        <f>HYPERLINK("https://docs.wto.org/imrd/directdoc.asp?DDFDocuments/v/G/SPS/NCHN1047.DOC")</f>
        <v>https://docs.wto.org/imrd/directdoc.asp?DDFDocuments/v/G/SPS/NCHN1047.DOC</v>
      </c>
      <c r="N477" s="2" t="str">
        <f>HYPERLINK("http://www.epingalert.org/#/details/G/SPS/N/CHN/1047")</f>
        <v>http://www.epingalert.org/#/details/G/SPS/N/CHN/1047</v>
      </c>
      <c r="O477" s="2"/>
    </row>
    <row r="478" spans="1:15" ht="240" customHeight="1" outlineLevel="1" x14ac:dyDescent="0.25">
      <c r="A478" s="2" t="s">
        <v>380</v>
      </c>
      <c r="B478" s="2" t="s">
        <v>3143</v>
      </c>
      <c r="C478" s="2" t="s">
        <v>3144</v>
      </c>
      <c r="D478" s="2" t="s">
        <v>3145</v>
      </c>
      <c r="E478" s="3">
        <v>42398</v>
      </c>
      <c r="F478" s="2" t="s">
        <v>3146</v>
      </c>
      <c r="G478" s="2"/>
      <c r="H478" s="2" t="s">
        <v>2425</v>
      </c>
      <c r="I478" s="2" t="s">
        <v>2426</v>
      </c>
      <c r="J478" s="3">
        <v>42458</v>
      </c>
      <c r="K478" s="2" t="str">
        <f>HYPERLINK("https://docs.wto.org/imrd/directdoc.asp?DDFDocuments/t/G/SPS/NCHN1050.DOC")</f>
        <v>https://docs.wto.org/imrd/directdoc.asp?DDFDocuments/t/G/SPS/NCHN1050.DOC</v>
      </c>
      <c r="L478" s="2" t="str">
        <f>HYPERLINK("https://docs.wto.org/imrd/directdoc.asp?DDFDocuments/u/G/SPS/NCHN1050.DOC")</f>
        <v>https://docs.wto.org/imrd/directdoc.asp?DDFDocuments/u/G/SPS/NCHN1050.DOC</v>
      </c>
      <c r="M478" s="2" t="str">
        <f>HYPERLINK("https://docs.wto.org/imrd/directdoc.asp?DDFDocuments/v/G/SPS/NCHN1050.DOC")</f>
        <v>https://docs.wto.org/imrd/directdoc.asp?DDFDocuments/v/G/SPS/NCHN1050.DOC</v>
      </c>
      <c r="N478" s="2" t="str">
        <f>HYPERLINK("http://www.epingalert.org/#/details/G/SPS/N/CHN/1050")</f>
        <v>http://www.epingalert.org/#/details/G/SPS/N/CHN/1050</v>
      </c>
      <c r="O478" s="2"/>
    </row>
    <row r="479" spans="1:15" ht="240" customHeight="1" outlineLevel="1" x14ac:dyDescent="0.25">
      <c r="A479" s="2" t="s">
        <v>12</v>
      </c>
      <c r="B479" s="2" t="s">
        <v>3147</v>
      </c>
      <c r="C479" s="2" t="s">
        <v>3148</v>
      </c>
      <c r="D479" s="2" t="s">
        <v>3149</v>
      </c>
      <c r="E479" s="3">
        <v>42398</v>
      </c>
      <c r="F479" s="2" t="s">
        <v>2724</v>
      </c>
      <c r="G479" s="2" t="s">
        <v>3150</v>
      </c>
      <c r="H479" s="2" t="s">
        <v>2654</v>
      </c>
      <c r="I479" s="2" t="s">
        <v>3151</v>
      </c>
      <c r="J479" s="3">
        <v>42458</v>
      </c>
      <c r="K479" s="2" t="str">
        <f>HYPERLINK("https://docs.wto.org/imrd/directdoc.asp?DDFDocuments/t/G/SPS/NEU155.DOC")</f>
        <v>https://docs.wto.org/imrd/directdoc.asp?DDFDocuments/t/G/SPS/NEU155.DOC</v>
      </c>
      <c r="L479" s="2" t="str">
        <f>HYPERLINK("https://docs.wto.org/imrd/directdoc.asp?DDFDocuments/u/G/SPS/NEU155.DOC")</f>
        <v>https://docs.wto.org/imrd/directdoc.asp?DDFDocuments/u/G/SPS/NEU155.DOC</v>
      </c>
      <c r="M479" s="2" t="str">
        <f>HYPERLINK("https://docs.wto.org/imrd/directdoc.asp?DDFDocuments/v/G/SPS/NEU155.DOC")</f>
        <v>https://docs.wto.org/imrd/directdoc.asp?DDFDocuments/v/G/SPS/NEU155.DOC</v>
      </c>
      <c r="N479" s="2" t="str">
        <f>HYPERLINK("http://www.epingalert.org/#/details/G/SPS/N/EU/155")</f>
        <v>http://www.epingalert.org/#/details/G/SPS/N/EU/155</v>
      </c>
      <c r="O479" s="2"/>
    </row>
    <row r="480" spans="1:15" ht="240" customHeight="1" outlineLevel="1" x14ac:dyDescent="0.25">
      <c r="A480" s="2" t="s">
        <v>380</v>
      </c>
      <c r="B480" s="2" t="s">
        <v>3156</v>
      </c>
      <c r="C480" s="2" t="s">
        <v>3157</v>
      </c>
      <c r="D480" s="2" t="s">
        <v>3158</v>
      </c>
      <c r="E480" s="3">
        <v>42398</v>
      </c>
      <c r="F480" s="2" t="s">
        <v>3159</v>
      </c>
      <c r="G480" s="2"/>
      <c r="H480" s="2" t="s">
        <v>2425</v>
      </c>
      <c r="I480" s="2" t="s">
        <v>2426</v>
      </c>
      <c r="J480" s="3">
        <v>42458</v>
      </c>
      <c r="K480" s="2" t="str">
        <f>HYPERLINK("https://docs.wto.org/imrd/directdoc.asp?DDFDocuments/t/G/SPS/NCHN1048.DOC")</f>
        <v>https://docs.wto.org/imrd/directdoc.asp?DDFDocuments/t/G/SPS/NCHN1048.DOC</v>
      </c>
      <c r="L480" s="2" t="str">
        <f>HYPERLINK("https://docs.wto.org/imrd/directdoc.asp?DDFDocuments/u/G/SPS/NCHN1048.DOC")</f>
        <v>https://docs.wto.org/imrd/directdoc.asp?DDFDocuments/u/G/SPS/NCHN1048.DOC</v>
      </c>
      <c r="M480" s="2" t="str">
        <f>HYPERLINK("https://docs.wto.org/imrd/directdoc.asp?DDFDocuments/v/G/SPS/NCHN1048.DOC")</f>
        <v>https://docs.wto.org/imrd/directdoc.asp?DDFDocuments/v/G/SPS/NCHN1048.DOC</v>
      </c>
      <c r="N480" s="2" t="str">
        <f>HYPERLINK("http://www.epingalert.org/#/details/G/SPS/N/CHN/1048")</f>
        <v>http://www.epingalert.org/#/details/G/SPS/N/CHN/1048</v>
      </c>
      <c r="O480" s="2"/>
    </row>
    <row r="481" spans="1:15" ht="240" customHeight="1" outlineLevel="1" x14ac:dyDescent="0.25">
      <c r="A481" s="2" t="s">
        <v>380</v>
      </c>
      <c r="B481" s="2" t="s">
        <v>3160</v>
      </c>
      <c r="C481" s="2" t="s">
        <v>3161</v>
      </c>
      <c r="D481" s="2" t="s">
        <v>3162</v>
      </c>
      <c r="E481" s="3">
        <v>42398</v>
      </c>
      <c r="F481" s="2" t="s">
        <v>3163</v>
      </c>
      <c r="G481" s="2"/>
      <c r="H481" s="2" t="s">
        <v>2425</v>
      </c>
      <c r="I481" s="2" t="s">
        <v>2426</v>
      </c>
      <c r="J481" s="3">
        <v>42458</v>
      </c>
      <c r="K481" s="2" t="str">
        <f>HYPERLINK("https://docs.wto.org/imrd/directdoc.asp?DDFDocuments/t/G/SPS/NCHN1045.DOC")</f>
        <v>https://docs.wto.org/imrd/directdoc.asp?DDFDocuments/t/G/SPS/NCHN1045.DOC</v>
      </c>
      <c r="L481" s="2" t="str">
        <f>HYPERLINK("https://docs.wto.org/imrd/directdoc.asp?DDFDocuments/u/G/SPS/NCHN1045.DOC")</f>
        <v>https://docs.wto.org/imrd/directdoc.asp?DDFDocuments/u/G/SPS/NCHN1045.DOC</v>
      </c>
      <c r="M481" s="2" t="str">
        <f>HYPERLINK("https://docs.wto.org/imrd/directdoc.asp?DDFDocuments/v/G/SPS/NCHN1045.DOC")</f>
        <v>https://docs.wto.org/imrd/directdoc.asp?DDFDocuments/v/G/SPS/NCHN1045.DOC</v>
      </c>
      <c r="N481" s="2" t="str">
        <f>HYPERLINK("http://www.epingalert.org/#/details/G/SPS/N/CHN/1045")</f>
        <v>http://www.epingalert.org/#/details/G/SPS/N/CHN/1045</v>
      </c>
      <c r="O481" s="2"/>
    </row>
    <row r="482" spans="1:15" ht="240" customHeight="1" outlineLevel="1" x14ac:dyDescent="0.25">
      <c r="A482" s="2" t="s">
        <v>380</v>
      </c>
      <c r="B482" s="2" t="s">
        <v>3164</v>
      </c>
      <c r="C482" s="2" t="s">
        <v>3165</v>
      </c>
      <c r="D482" s="2" t="s">
        <v>3166</v>
      </c>
      <c r="E482" s="3">
        <v>42398</v>
      </c>
      <c r="F482" s="2" t="s">
        <v>3167</v>
      </c>
      <c r="G482" s="2"/>
      <c r="H482" s="2" t="s">
        <v>2425</v>
      </c>
      <c r="I482" s="2" t="s">
        <v>2426</v>
      </c>
      <c r="J482" s="3">
        <v>42458</v>
      </c>
      <c r="K482" s="2" t="str">
        <f>HYPERLINK("https://docs.wto.org/imrd/directdoc.asp?DDFDocuments/t/G/SPS/NCHN1042.DOC")</f>
        <v>https://docs.wto.org/imrd/directdoc.asp?DDFDocuments/t/G/SPS/NCHN1042.DOC</v>
      </c>
      <c r="L482" s="2" t="str">
        <f>HYPERLINK("https://docs.wto.org/imrd/directdoc.asp?DDFDocuments/u/G/SPS/NCHN1042.DOC")</f>
        <v>https://docs.wto.org/imrd/directdoc.asp?DDFDocuments/u/G/SPS/NCHN1042.DOC</v>
      </c>
      <c r="M482" s="2" t="str">
        <f>HYPERLINK("https://docs.wto.org/imrd/directdoc.asp?DDFDocuments/v/G/SPS/NCHN1042.DOC")</f>
        <v>https://docs.wto.org/imrd/directdoc.asp?DDFDocuments/v/G/SPS/NCHN1042.DOC</v>
      </c>
      <c r="N482" s="2" t="str">
        <f>HYPERLINK("http://www.epingalert.org/#/details/G/SPS/N/CHN/1042")</f>
        <v>http://www.epingalert.org/#/details/G/SPS/N/CHN/1042</v>
      </c>
      <c r="O482" s="2"/>
    </row>
    <row r="483" spans="1:15" ht="240" customHeight="1" outlineLevel="1" x14ac:dyDescent="0.25">
      <c r="A483" s="2" t="s">
        <v>380</v>
      </c>
      <c r="B483" s="2" t="s">
        <v>3168</v>
      </c>
      <c r="C483" s="2" t="s">
        <v>3169</v>
      </c>
      <c r="D483" s="2" t="s">
        <v>3170</v>
      </c>
      <c r="E483" s="3">
        <v>42398</v>
      </c>
      <c r="F483" s="2" t="s">
        <v>3171</v>
      </c>
      <c r="G483" s="2"/>
      <c r="H483" s="2" t="s">
        <v>2425</v>
      </c>
      <c r="I483" s="2" t="s">
        <v>2426</v>
      </c>
      <c r="J483" s="3">
        <v>42458</v>
      </c>
      <c r="K483" s="2" t="str">
        <f>HYPERLINK("https://docs.wto.org/imrd/directdoc.asp?DDFDocuments/t/G/SPS/NCHN1049.DOC")</f>
        <v>https://docs.wto.org/imrd/directdoc.asp?DDFDocuments/t/G/SPS/NCHN1049.DOC</v>
      </c>
      <c r="L483" s="2" t="str">
        <f>HYPERLINK("https://docs.wto.org/imrd/directdoc.asp?DDFDocuments/u/G/SPS/NCHN1049.DOC")</f>
        <v>https://docs.wto.org/imrd/directdoc.asp?DDFDocuments/u/G/SPS/NCHN1049.DOC</v>
      </c>
      <c r="M483" s="2" t="str">
        <f>HYPERLINK("https://docs.wto.org/imrd/directdoc.asp?DDFDocuments/v/G/SPS/NCHN1049.DOC")</f>
        <v>https://docs.wto.org/imrd/directdoc.asp?DDFDocuments/v/G/SPS/NCHN1049.DOC</v>
      </c>
      <c r="N483" s="2" t="str">
        <f>HYPERLINK("http://www.epingalert.org/#/details/G/SPS/N/CHN/1049")</f>
        <v>http://www.epingalert.org/#/details/G/SPS/N/CHN/1049</v>
      </c>
      <c r="O483" s="2"/>
    </row>
    <row r="484" spans="1:15" ht="240" customHeight="1" outlineLevel="1" x14ac:dyDescent="0.25">
      <c r="A484" s="2" t="s">
        <v>25</v>
      </c>
      <c r="B484" s="2" t="s">
        <v>3152</v>
      </c>
      <c r="C484" s="2" t="s">
        <v>2528</v>
      </c>
      <c r="D484" s="2" t="s">
        <v>3153</v>
      </c>
      <c r="E484" s="3">
        <v>42398</v>
      </c>
      <c r="F484" s="2" t="s">
        <v>299</v>
      </c>
      <c r="G484" s="2" t="s">
        <v>3154</v>
      </c>
      <c r="H484" s="2" t="s">
        <v>2425</v>
      </c>
      <c r="I484" s="2" t="s">
        <v>3155</v>
      </c>
      <c r="J484" s="3">
        <v>42416</v>
      </c>
      <c r="K484" s="2" t="str">
        <f>HYPERLINK("https://docs.wto.org/imrd/directdoc.asp?DDFDocuments/t/G/SPS/NKOR529.DOC")</f>
        <v>https://docs.wto.org/imrd/directdoc.asp?DDFDocuments/t/G/SPS/NKOR529.DOC</v>
      </c>
      <c r="L484" s="2" t="str">
        <f>HYPERLINK("https://docs.wto.org/imrd/directdoc.asp?DDFDocuments/u/G/SPS/NKOR529.DOC")</f>
        <v>https://docs.wto.org/imrd/directdoc.asp?DDFDocuments/u/G/SPS/NKOR529.DOC</v>
      </c>
      <c r="M484" s="2" t="str">
        <f>HYPERLINK("https://docs.wto.org/imrd/directdoc.asp?DDFDocuments/v/G/SPS/NKOR529.DOC")</f>
        <v>https://docs.wto.org/imrd/directdoc.asp?DDFDocuments/v/G/SPS/NKOR529.DOC</v>
      </c>
      <c r="N484" s="2" t="str">
        <f>HYPERLINK("http://www.epingalert.org/#/details/G/SPS/N/KOR/529")</f>
        <v>http://www.epingalert.org/#/details/G/SPS/N/KOR/529</v>
      </c>
      <c r="O484" s="2"/>
    </row>
    <row r="485" spans="1:15" ht="240" customHeight="1" outlineLevel="1" x14ac:dyDescent="0.25">
      <c r="A485" s="2" t="s">
        <v>1042</v>
      </c>
      <c r="B485" s="2" t="s">
        <v>6517</v>
      </c>
      <c r="C485" s="2" t="s">
        <v>6518</v>
      </c>
      <c r="D485" s="2" t="s">
        <v>6519</v>
      </c>
      <c r="E485" s="3">
        <v>42397</v>
      </c>
      <c r="F485" s="2" t="s">
        <v>6520</v>
      </c>
      <c r="G485" s="2" t="s">
        <v>1775</v>
      </c>
      <c r="H485" s="2" t="s">
        <v>2425</v>
      </c>
      <c r="I485" s="2" t="s">
        <v>6503</v>
      </c>
      <c r="J485" s="3">
        <v>42460</v>
      </c>
      <c r="K485" s="2" t="str">
        <f>HYPERLINK("https://docs.wto.org/imrd/directdoc.asp?DDFDocuments/t/G/SPS/NPHL317.DOC")</f>
        <v>https://docs.wto.org/imrd/directdoc.asp?DDFDocuments/t/G/SPS/NPHL317.DOC</v>
      </c>
      <c r="L485" s="2" t="str">
        <f>HYPERLINK("https://docs.wto.org/imrd/directdoc.asp?DDFDocuments/u/G/SPS/NPHL317.DOC")</f>
        <v>https://docs.wto.org/imrd/directdoc.asp?DDFDocuments/u/G/SPS/NPHL317.DOC</v>
      </c>
      <c r="M485" s="2" t="str">
        <f>HYPERLINK("https://docs.wto.org/imrd/directdoc.asp?DDFDocuments/v/G/SPS/NPHL317.DOC")</f>
        <v>https://docs.wto.org/imrd/directdoc.asp?DDFDocuments/v/G/SPS/NPHL317.DOC</v>
      </c>
      <c r="N485" s="2" t="str">
        <f>HYPERLINK("http://www.epingalert.org/#/details/G/SPS/N/PHL/317")</f>
        <v>http://www.epingalert.org/#/details/G/SPS/N/PHL/317</v>
      </c>
      <c r="O485" s="2"/>
    </row>
    <row r="486" spans="1:15" ht="240" customHeight="1" outlineLevel="1" x14ac:dyDescent="0.25">
      <c r="A486" s="2" t="s">
        <v>1042</v>
      </c>
      <c r="B486" s="2" t="s">
        <v>7217</v>
      </c>
      <c r="C486" s="2"/>
      <c r="D486" s="2"/>
      <c r="E486" s="3">
        <v>42397</v>
      </c>
      <c r="F486" s="2" t="s">
        <v>7005</v>
      </c>
      <c r="G486" s="2" t="s">
        <v>7218</v>
      </c>
      <c r="H486" s="2" t="s">
        <v>2467</v>
      </c>
      <c r="I486" s="2" t="s">
        <v>7034</v>
      </c>
      <c r="J486" s="2"/>
      <c r="K486" s="2" t="str">
        <f>HYPERLINK("https://docs.wto.org/imrd/directdoc.asp?DDFDocuments/t/G/SPS/NPHL292A1.DOC")</f>
        <v>https://docs.wto.org/imrd/directdoc.asp?DDFDocuments/t/G/SPS/NPHL292A1.DOC</v>
      </c>
      <c r="L486" s="2" t="str">
        <f>HYPERLINK("https://docs.wto.org/imrd/directdoc.asp?DDFDocuments/u/G/SPS/NPHL292A1.DOC")</f>
        <v>https://docs.wto.org/imrd/directdoc.asp?DDFDocuments/u/G/SPS/NPHL292A1.DOC</v>
      </c>
      <c r="M486" s="2" t="str">
        <f>HYPERLINK("https://docs.wto.org/imrd/directdoc.asp?DDFDocuments/v/G/SPS/NPHL292A1.DOC")</f>
        <v>https://docs.wto.org/imrd/directdoc.asp?DDFDocuments/v/G/SPS/NPHL292A1.DOC</v>
      </c>
      <c r="N486" s="2" t="str">
        <f>HYPERLINK("http://www.epingalert.org/#/details/G/SPS/N/PHL/292/Add.1")</f>
        <v>http://www.epingalert.org/#/details/G/SPS/N/PHL/292/Add.1</v>
      </c>
      <c r="O486" s="2"/>
    </row>
    <row r="487" spans="1:15" ht="240" customHeight="1" outlineLevel="1" x14ac:dyDescent="0.25">
      <c r="A487" s="2" t="s">
        <v>1042</v>
      </c>
      <c r="B487" s="2" t="s">
        <v>7219</v>
      </c>
      <c r="C487" s="2"/>
      <c r="D487" s="2"/>
      <c r="E487" s="3">
        <v>42397</v>
      </c>
      <c r="F487" s="2" t="s">
        <v>7005</v>
      </c>
      <c r="G487" s="2" t="s">
        <v>7220</v>
      </c>
      <c r="H487" s="2" t="s">
        <v>2467</v>
      </c>
      <c r="I487" s="2" t="s">
        <v>7034</v>
      </c>
      <c r="J487" s="2"/>
      <c r="K487" s="2" t="str">
        <f>HYPERLINK("https://docs.wto.org/imrd/directdoc.asp?DDFDocuments/t/G/SPS/NPHL285A1.DOC")</f>
        <v>https://docs.wto.org/imrd/directdoc.asp?DDFDocuments/t/G/SPS/NPHL285A1.DOC</v>
      </c>
      <c r="L487" s="2" t="str">
        <f>HYPERLINK("https://docs.wto.org/imrd/directdoc.asp?DDFDocuments/u/G/SPS/NPHL285A1.DOC")</f>
        <v>https://docs.wto.org/imrd/directdoc.asp?DDFDocuments/u/G/SPS/NPHL285A1.DOC</v>
      </c>
      <c r="M487" s="2" t="str">
        <f>HYPERLINK("https://docs.wto.org/imrd/directdoc.asp?DDFDocuments/v/G/SPS/NPHL285A1.DOC")</f>
        <v>https://docs.wto.org/imrd/directdoc.asp?DDFDocuments/v/G/SPS/NPHL285A1.DOC</v>
      </c>
      <c r="N487" s="2" t="str">
        <f>HYPERLINK("http://www.epingalert.org/#/details/G/SPS/N/PHL/285/Add.1")</f>
        <v>http://www.epingalert.org/#/details/G/SPS/N/PHL/285/Add.1</v>
      </c>
      <c r="O487" s="2"/>
    </row>
    <row r="488" spans="1:15" ht="240" customHeight="1" outlineLevel="1" x14ac:dyDescent="0.25">
      <c r="A488" s="2" t="s">
        <v>1908</v>
      </c>
      <c r="B488" s="2" t="s">
        <v>7221</v>
      </c>
      <c r="C488" s="2"/>
      <c r="D488" s="2"/>
      <c r="E488" s="3">
        <v>42397</v>
      </c>
      <c r="F488" s="2" t="s">
        <v>7222</v>
      </c>
      <c r="G488" s="2" t="s">
        <v>7223</v>
      </c>
      <c r="H488" s="2" t="s">
        <v>2648</v>
      </c>
      <c r="I488" s="2" t="s">
        <v>2444</v>
      </c>
      <c r="J488" s="2"/>
      <c r="K488" s="2" t="str">
        <f>HYPERLINK("https://docs.wto.org/imrd/directdoc.asp?DDFDocuments/t/G/SPS/NCAN244R2A2.DOC")</f>
        <v>https://docs.wto.org/imrd/directdoc.asp?DDFDocuments/t/G/SPS/NCAN244R2A2.DOC</v>
      </c>
      <c r="L488" s="2" t="str">
        <f>HYPERLINK("https://docs.wto.org/imrd/directdoc.asp?DDFDocuments/u/G/SPS/NCAN244R2A2.DOC")</f>
        <v>https://docs.wto.org/imrd/directdoc.asp?DDFDocuments/u/G/SPS/NCAN244R2A2.DOC</v>
      </c>
      <c r="M488" s="2" t="str">
        <f>HYPERLINK("https://docs.wto.org/imrd/directdoc.asp?DDFDocuments/v/G/SPS/NCAN244R2A2.DOC")</f>
        <v>https://docs.wto.org/imrd/directdoc.asp?DDFDocuments/v/G/SPS/NCAN244R2A2.DOC</v>
      </c>
      <c r="N488" s="2" t="str">
        <f>HYPERLINK("http://www.epingalert.org/#/details/G/SPS/N/CAN/244/Rev.2/Add.2")</f>
        <v>http://www.epingalert.org/#/details/G/SPS/N/CAN/244/Rev.2/Add.2</v>
      </c>
      <c r="O488" s="2"/>
    </row>
    <row r="489" spans="1:15" ht="240" customHeight="1" outlineLevel="1" x14ac:dyDescent="0.25">
      <c r="A489" s="2" t="s">
        <v>1042</v>
      </c>
      <c r="B489" s="2" t="s">
        <v>7224</v>
      </c>
      <c r="C489" s="2"/>
      <c r="D489" s="2"/>
      <c r="E489" s="3">
        <v>42396</v>
      </c>
      <c r="F489" s="2" t="s">
        <v>7005</v>
      </c>
      <c r="G489" s="2" t="s">
        <v>7216</v>
      </c>
      <c r="H489" s="2" t="s">
        <v>2467</v>
      </c>
      <c r="I489" s="2" t="s">
        <v>7034</v>
      </c>
      <c r="J489" s="2"/>
      <c r="K489" s="2" t="str">
        <f>HYPERLINK("https://docs.wto.org/imrd/directdoc.asp?DDFDocuments/t/G/SPS/NPHL301A1.DOC")</f>
        <v>https://docs.wto.org/imrd/directdoc.asp?DDFDocuments/t/G/SPS/NPHL301A1.DOC</v>
      </c>
      <c r="L489" s="2" t="str">
        <f>HYPERLINK("https://docs.wto.org/imrd/directdoc.asp?DDFDocuments/u/G/SPS/NPHL301A1.DOC")</f>
        <v>https://docs.wto.org/imrd/directdoc.asp?DDFDocuments/u/G/SPS/NPHL301A1.DOC</v>
      </c>
      <c r="M489" s="2" t="str">
        <f>HYPERLINK("https://docs.wto.org/imrd/directdoc.asp?DDFDocuments/v/G/SPS/NPHL301A1.DOC")</f>
        <v>https://docs.wto.org/imrd/directdoc.asp?DDFDocuments/v/G/SPS/NPHL301A1.DOC</v>
      </c>
      <c r="N489" s="2" t="str">
        <f>HYPERLINK("http://www.epingalert.org/#/details/G/SPS/N/PHL/301/Add.1")</f>
        <v>http://www.epingalert.org/#/details/G/SPS/N/PHL/301/Add.1</v>
      </c>
      <c r="O489" s="2"/>
    </row>
    <row r="490" spans="1:15" ht="240" customHeight="1" outlineLevel="1" x14ac:dyDescent="0.25">
      <c r="A490" s="2" t="s">
        <v>115</v>
      </c>
      <c r="B490" s="2" t="s">
        <v>7225</v>
      </c>
      <c r="C490" s="2" t="s">
        <v>7226</v>
      </c>
      <c r="D490" s="2" t="s">
        <v>7227</v>
      </c>
      <c r="E490" s="3">
        <v>42395</v>
      </c>
      <c r="F490" s="2" t="s">
        <v>7228</v>
      </c>
      <c r="G490" s="2" t="s">
        <v>7229</v>
      </c>
      <c r="H490" s="2" t="s">
        <v>2425</v>
      </c>
      <c r="I490" s="2" t="s">
        <v>2461</v>
      </c>
      <c r="J490" s="3">
        <v>42455</v>
      </c>
      <c r="K490" s="2" t="str">
        <f>HYPERLINK("https://docs.wto.org/imrd/directdoc.asp?DDFDocuments/t/G/SPS/NJPN439.DOC")</f>
        <v>https://docs.wto.org/imrd/directdoc.asp?DDFDocuments/t/G/SPS/NJPN439.DOC</v>
      </c>
      <c r="L490" s="2" t="str">
        <f>HYPERLINK("https://docs.wto.org/imrd/directdoc.asp?DDFDocuments/u/G/SPS/NJPN439.DOC")</f>
        <v>https://docs.wto.org/imrd/directdoc.asp?DDFDocuments/u/G/SPS/NJPN439.DOC</v>
      </c>
      <c r="M490" s="2" t="str">
        <f>HYPERLINK("https://docs.wto.org/imrd/directdoc.asp?DDFDocuments/v/G/SPS/NJPN439.DOC")</f>
        <v>https://docs.wto.org/imrd/directdoc.asp?DDFDocuments/v/G/SPS/NJPN439.DOC</v>
      </c>
      <c r="N490" s="2" t="str">
        <f>HYPERLINK("http://www.epingalert.org/#/details/G/SPS/N/JPN/439")</f>
        <v>http://www.epingalert.org/#/details/G/SPS/N/JPN/439</v>
      </c>
      <c r="O490" s="2"/>
    </row>
    <row r="491" spans="1:15" ht="240" customHeight="1" outlineLevel="1" x14ac:dyDescent="0.25">
      <c r="A491" s="2" t="s">
        <v>12</v>
      </c>
      <c r="B491" s="2" t="s">
        <v>7231</v>
      </c>
      <c r="C491" s="2" t="s">
        <v>7232</v>
      </c>
      <c r="D491" s="2" t="s">
        <v>7233</v>
      </c>
      <c r="E491" s="3">
        <v>42389</v>
      </c>
      <c r="F491" s="2" t="s">
        <v>7234</v>
      </c>
      <c r="G491" s="2" t="s">
        <v>2039</v>
      </c>
      <c r="H491" s="2" t="s">
        <v>2425</v>
      </c>
      <c r="I491" s="2" t="s">
        <v>7235</v>
      </c>
      <c r="J491" s="2"/>
      <c r="K491" s="2" t="str">
        <f>HYPERLINK("https://docs.wto.org/imrd/directdoc.asp?DDFDocuments/t/G/SPS/NEU154.DOC")</f>
        <v>https://docs.wto.org/imrd/directdoc.asp?DDFDocuments/t/G/SPS/NEU154.DOC</v>
      </c>
      <c r="L491" s="2" t="str">
        <f>HYPERLINK("https://docs.wto.org/imrd/directdoc.asp?DDFDocuments/u/G/SPS/NEU154.DOC")</f>
        <v>https://docs.wto.org/imrd/directdoc.asp?DDFDocuments/u/G/SPS/NEU154.DOC</v>
      </c>
      <c r="M491" s="2" t="str">
        <f>HYPERLINK("https://docs.wto.org/imrd/directdoc.asp?DDFDocuments/v/G/SPS/NEU154.DOC")</f>
        <v>https://docs.wto.org/imrd/directdoc.asp?DDFDocuments/v/G/SPS/NEU154.DOC</v>
      </c>
      <c r="N491" s="2" t="str">
        <f>HYPERLINK("http://www.epingalert.org/#/details/G/SPS/N/EU/154")</f>
        <v>http://www.epingalert.org/#/details/G/SPS/N/EU/154</v>
      </c>
      <c r="O491" s="2"/>
    </row>
    <row r="492" spans="1:15" ht="240" customHeight="1" outlineLevel="1" x14ac:dyDescent="0.25">
      <c r="A492" s="2" t="s">
        <v>77</v>
      </c>
      <c r="B492" s="2" t="s">
        <v>3172</v>
      </c>
      <c r="C492" s="2"/>
      <c r="D492" s="2"/>
      <c r="E492" s="3">
        <v>42387</v>
      </c>
      <c r="F492" s="2" t="s">
        <v>210</v>
      </c>
      <c r="G492" s="2" t="s">
        <v>3173</v>
      </c>
      <c r="H492" s="2" t="s">
        <v>2425</v>
      </c>
      <c r="I492" s="2" t="s">
        <v>2444</v>
      </c>
      <c r="J492" s="2"/>
      <c r="K492" s="2" t="str">
        <f>HYPERLINK("https://docs.wto.org/imrd/directdoc.asp?DDFDocuments/t/G/SPS/NTPKM363A1.DOC")</f>
        <v>https://docs.wto.org/imrd/directdoc.asp?DDFDocuments/t/G/SPS/NTPKM363A1.DOC</v>
      </c>
      <c r="L492" s="2" t="str">
        <f>HYPERLINK("https://docs.wto.org/imrd/directdoc.asp?DDFDocuments/u/G/SPS/NTPKM363A1.DOC")</f>
        <v>https://docs.wto.org/imrd/directdoc.asp?DDFDocuments/u/G/SPS/NTPKM363A1.DOC</v>
      </c>
      <c r="M492" s="2" t="str">
        <f>HYPERLINK("https://docs.wto.org/imrd/directdoc.asp?DDFDocuments/v/G/SPS/NTPKM363A1.DOC")</f>
        <v>https://docs.wto.org/imrd/directdoc.asp?DDFDocuments/v/G/SPS/NTPKM363A1.DOC</v>
      </c>
      <c r="N492" s="2" t="str">
        <f>HYPERLINK("http://www.epingalert.org/#/details/G/SPS/N/TPKM/363/Add.1")</f>
        <v>http://www.epingalert.org/#/details/G/SPS/N/TPKM/363/Add.1</v>
      </c>
      <c r="O492" s="2"/>
    </row>
    <row r="493" spans="1:15" ht="240" customHeight="1" outlineLevel="1" x14ac:dyDescent="0.25">
      <c r="A493" s="2" t="s">
        <v>225</v>
      </c>
      <c r="B493" s="2" t="s">
        <v>3175</v>
      </c>
      <c r="C493" s="2" t="s">
        <v>3176</v>
      </c>
      <c r="D493" s="2" t="s">
        <v>2494</v>
      </c>
      <c r="E493" s="3">
        <v>42384</v>
      </c>
      <c r="F493" s="2" t="s">
        <v>2430</v>
      </c>
      <c r="G493" s="2"/>
      <c r="H493" s="2" t="s">
        <v>2425</v>
      </c>
      <c r="I493" s="2" t="s">
        <v>2431</v>
      </c>
      <c r="J493" s="3">
        <v>42447</v>
      </c>
      <c r="K493" s="2" t="str">
        <f>HYPERLINK("https://docs.wto.org/imrd/directdoc.asp?DDFDocuments/t/G/SPS/NAUS380.DOC")</f>
        <v>https://docs.wto.org/imrd/directdoc.asp?DDFDocuments/t/G/SPS/NAUS380.DOC</v>
      </c>
      <c r="L493" s="2" t="str">
        <f>HYPERLINK("https://docs.wto.org/imrd/directdoc.asp?DDFDocuments/u/G/SPS/NAUS380.DOC")</f>
        <v>https://docs.wto.org/imrd/directdoc.asp?DDFDocuments/u/G/SPS/NAUS380.DOC</v>
      </c>
      <c r="M493" s="2" t="str">
        <f>HYPERLINK("https://docs.wto.org/imrd/directdoc.asp?DDFDocuments/v/G/SPS/NAUS380.DOC")</f>
        <v>https://docs.wto.org/imrd/directdoc.asp?DDFDocuments/v/G/SPS/NAUS380.DOC</v>
      </c>
      <c r="N493" s="2" t="str">
        <f>HYPERLINK("http://www.epingalert.org/#/details/G/SPS/N/AUS/380")</f>
        <v>http://www.epingalert.org/#/details/G/SPS/N/AUS/380</v>
      </c>
      <c r="O493" s="2"/>
    </row>
    <row r="494" spans="1:15" ht="240" customHeight="1" outlineLevel="1" x14ac:dyDescent="0.25">
      <c r="A494" s="2" t="s">
        <v>77</v>
      </c>
      <c r="B494" s="2" t="s">
        <v>3174</v>
      </c>
      <c r="C494" s="2"/>
      <c r="D494" s="2"/>
      <c r="E494" s="3">
        <v>42384</v>
      </c>
      <c r="F494" s="2" t="s">
        <v>2435</v>
      </c>
      <c r="G494" s="2"/>
      <c r="H494" s="2" t="s">
        <v>2425</v>
      </c>
      <c r="I494" s="2" t="s">
        <v>2491</v>
      </c>
      <c r="J494" s="3">
        <v>42444</v>
      </c>
      <c r="K494" s="2" t="str">
        <f>HYPERLINK("https://docs.wto.org/imrd/directdoc.asp?DDFDocuments/t/G/SPS/NTPKM311A1.DOC")</f>
        <v>https://docs.wto.org/imrd/directdoc.asp?DDFDocuments/t/G/SPS/NTPKM311A1.DOC</v>
      </c>
      <c r="L494" s="2" t="str">
        <f>HYPERLINK("https://docs.wto.org/imrd/directdoc.asp?DDFDocuments/u/G/SPS/NTPKM311A1.DOC")</f>
        <v>https://docs.wto.org/imrd/directdoc.asp?DDFDocuments/u/G/SPS/NTPKM311A1.DOC</v>
      </c>
      <c r="M494" s="2" t="str">
        <f>HYPERLINK("https://docs.wto.org/imrd/directdoc.asp?DDFDocuments/v/G/SPS/NTPKM311A1.DOC")</f>
        <v>https://docs.wto.org/imrd/directdoc.asp?DDFDocuments/v/G/SPS/NTPKM311A1.DOC</v>
      </c>
      <c r="N494" s="2" t="str">
        <f>HYPERLINK("http://www.epingalert.org/#/details/G/SPS/N/TPKM/311/Add.1")</f>
        <v>http://www.epingalert.org/#/details/G/SPS/N/TPKM/311/Add.1</v>
      </c>
      <c r="O494" s="2"/>
    </row>
    <row r="495" spans="1:15" ht="240" customHeight="1" outlineLevel="1" x14ac:dyDescent="0.25">
      <c r="A495" s="2" t="s">
        <v>37</v>
      </c>
      <c r="B495" s="2" t="s">
        <v>3177</v>
      </c>
      <c r="C495" s="2" t="s">
        <v>3178</v>
      </c>
      <c r="D495" s="2" t="s">
        <v>3179</v>
      </c>
      <c r="E495" s="3">
        <v>42383</v>
      </c>
      <c r="F495" s="2" t="s">
        <v>3180</v>
      </c>
      <c r="G495" s="2"/>
      <c r="H495" s="2" t="s">
        <v>2425</v>
      </c>
      <c r="I495" s="2" t="s">
        <v>2461</v>
      </c>
      <c r="J495" s="3">
        <v>42443</v>
      </c>
      <c r="K495" s="2" t="str">
        <f>HYPERLINK("https://docs.wto.org/imrd/directdoc.asp?DDFDocuments/t/G/SPS/NTUR70.DOC")</f>
        <v>https://docs.wto.org/imrd/directdoc.asp?DDFDocuments/t/G/SPS/NTUR70.DOC</v>
      </c>
      <c r="L495" s="2" t="str">
        <f>HYPERLINK("https://docs.wto.org/imrd/directdoc.asp?DDFDocuments/u/G/SPS/NTUR70.DOC")</f>
        <v>https://docs.wto.org/imrd/directdoc.asp?DDFDocuments/u/G/SPS/NTUR70.DOC</v>
      </c>
      <c r="M495" s="2" t="str">
        <f>HYPERLINK("https://docs.wto.org/imrd/directdoc.asp?DDFDocuments/v/G/SPS/NTUR70.DOC")</f>
        <v>https://docs.wto.org/imrd/directdoc.asp?DDFDocuments/v/G/SPS/NTUR70.DOC</v>
      </c>
      <c r="N495" s="2" t="str">
        <f>HYPERLINK("http://www.epingalert.org/#/details/G/SPS/N/TUR/70")</f>
        <v>http://www.epingalert.org/#/details/G/SPS/N/TUR/70</v>
      </c>
      <c r="O495" s="2"/>
    </row>
    <row r="496" spans="1:15" ht="240" customHeight="1" outlineLevel="1" x14ac:dyDescent="0.25">
      <c r="A496" s="2" t="s">
        <v>37</v>
      </c>
      <c r="B496" s="2" t="s">
        <v>6521</v>
      </c>
      <c r="C496" s="2" t="s">
        <v>6522</v>
      </c>
      <c r="D496" s="2" t="s">
        <v>6523</v>
      </c>
      <c r="E496" s="3">
        <v>42383</v>
      </c>
      <c r="F496" s="2" t="s">
        <v>1588</v>
      </c>
      <c r="G496" s="2" t="s">
        <v>6524</v>
      </c>
      <c r="H496" s="2" t="s">
        <v>2425</v>
      </c>
      <c r="I496" s="2" t="s">
        <v>2558</v>
      </c>
      <c r="J496" s="3">
        <v>42443</v>
      </c>
      <c r="K496" s="2" t="str">
        <f>HYPERLINK("https://docs.wto.org/imrd/directdoc.asp?DDFDocuments/t/G/SPS/NTUR69.DOC")</f>
        <v>https://docs.wto.org/imrd/directdoc.asp?DDFDocuments/t/G/SPS/NTUR69.DOC</v>
      </c>
      <c r="L496" s="2" t="str">
        <f>HYPERLINK("https://docs.wto.org/imrd/directdoc.asp?DDFDocuments/u/G/SPS/NTUR69.DOC")</f>
        <v>https://docs.wto.org/imrd/directdoc.asp?DDFDocuments/u/G/SPS/NTUR69.DOC</v>
      </c>
      <c r="M496" s="2" t="str">
        <f>HYPERLINK("https://docs.wto.org/imrd/directdoc.asp?DDFDocuments/v/G/SPS/NTUR69.DOC")</f>
        <v>https://docs.wto.org/imrd/directdoc.asp?DDFDocuments/v/G/SPS/NTUR69.DOC</v>
      </c>
      <c r="N496" s="2" t="str">
        <f>HYPERLINK("http://www.epingalert.org/#/details/G/SPS/N/TUR/69")</f>
        <v>http://www.epingalert.org/#/details/G/SPS/N/TUR/69</v>
      </c>
      <c r="O496" s="2"/>
    </row>
    <row r="497" spans="1:15" ht="240" customHeight="1" outlineLevel="1" x14ac:dyDescent="0.25">
      <c r="A497" s="2" t="s">
        <v>18</v>
      </c>
      <c r="B497" s="2" t="s">
        <v>3181</v>
      </c>
      <c r="C497" s="2" t="s">
        <v>3182</v>
      </c>
      <c r="D497" s="2" t="s">
        <v>3183</v>
      </c>
      <c r="E497" s="3">
        <v>42383</v>
      </c>
      <c r="F497" s="2" t="s">
        <v>2816</v>
      </c>
      <c r="G497" s="2"/>
      <c r="H497" s="2" t="s">
        <v>2425</v>
      </c>
      <c r="I497" s="2" t="s">
        <v>3184</v>
      </c>
      <c r="J497" s="2"/>
      <c r="K497" s="2" t="str">
        <f>HYPERLINK("https://docs.wto.org/imrd/directdoc.asp?DDFDocuments/t/G/SPS/NUSA2814.DOC")</f>
        <v>https://docs.wto.org/imrd/directdoc.asp?DDFDocuments/t/G/SPS/NUSA2814.DOC</v>
      </c>
      <c r="L497" s="2" t="str">
        <f>HYPERLINK("https://docs.wto.org/imrd/directdoc.asp?DDFDocuments/u/G/SPS/NUSA2814.DOC")</f>
        <v>https://docs.wto.org/imrd/directdoc.asp?DDFDocuments/u/G/SPS/NUSA2814.DOC</v>
      </c>
      <c r="M497" s="2" t="str">
        <f>HYPERLINK("https://docs.wto.org/imrd/directdoc.asp?DDFDocuments/v/G/SPS/NUSA2814.DOC")</f>
        <v>https://docs.wto.org/imrd/directdoc.asp?DDFDocuments/v/G/SPS/NUSA2814.DOC</v>
      </c>
      <c r="N497" s="2" t="str">
        <f>HYPERLINK("http://www.epingalert.org/#/details/G/SPS/N/USA/2814")</f>
        <v>http://www.epingalert.org/#/details/G/SPS/N/USA/2814</v>
      </c>
      <c r="O497" s="2"/>
    </row>
    <row r="498" spans="1:15" ht="240" customHeight="1" outlineLevel="1" x14ac:dyDescent="0.25">
      <c r="A498" s="2" t="s">
        <v>18</v>
      </c>
      <c r="B498" s="2" t="s">
        <v>3185</v>
      </c>
      <c r="C498" s="2" t="s">
        <v>3186</v>
      </c>
      <c r="D498" s="2" t="s">
        <v>3187</v>
      </c>
      <c r="E498" s="3">
        <v>42383</v>
      </c>
      <c r="F498" s="2" t="s">
        <v>2816</v>
      </c>
      <c r="G498" s="2"/>
      <c r="H498" s="2" t="s">
        <v>2425</v>
      </c>
      <c r="I498" s="2" t="s">
        <v>2817</v>
      </c>
      <c r="J498" s="2"/>
      <c r="K498" s="2" t="str">
        <f>HYPERLINK("https://docs.wto.org/imrd/directdoc.asp?DDFDocuments/t/G/SPS/NUSA2813.DOC")</f>
        <v>https://docs.wto.org/imrd/directdoc.asp?DDFDocuments/t/G/SPS/NUSA2813.DOC</v>
      </c>
      <c r="L498" s="2" t="str">
        <f>HYPERLINK("https://docs.wto.org/imrd/directdoc.asp?DDFDocuments/u/G/SPS/NUSA2813.DOC")</f>
        <v>https://docs.wto.org/imrd/directdoc.asp?DDFDocuments/u/G/SPS/NUSA2813.DOC</v>
      </c>
      <c r="M498" s="2" t="str">
        <f>HYPERLINK("https://docs.wto.org/imrd/directdoc.asp?DDFDocuments/v/G/SPS/NUSA2813.DOC")</f>
        <v>https://docs.wto.org/imrd/directdoc.asp?DDFDocuments/v/G/SPS/NUSA2813.DOC</v>
      </c>
      <c r="N498" s="2" t="str">
        <f>HYPERLINK("http://www.epingalert.org/#/details/G/SPS/N/USA/2813")</f>
        <v>http://www.epingalert.org/#/details/G/SPS/N/USA/2813</v>
      </c>
      <c r="O498" s="2"/>
    </row>
    <row r="499" spans="1:15" ht="240" customHeight="1" outlineLevel="1" x14ac:dyDescent="0.25">
      <c r="A499" s="2" t="s">
        <v>1216</v>
      </c>
      <c r="B499" s="2" t="s">
        <v>3188</v>
      </c>
      <c r="C499" s="2"/>
      <c r="D499" s="2"/>
      <c r="E499" s="3">
        <v>42382</v>
      </c>
      <c r="F499" s="2" t="s">
        <v>299</v>
      </c>
      <c r="G499" s="2"/>
      <c r="H499" s="2" t="s">
        <v>2425</v>
      </c>
      <c r="I499" s="2" t="s">
        <v>2672</v>
      </c>
      <c r="J499" s="3">
        <v>42445</v>
      </c>
      <c r="K499" s="2" t="str">
        <f>HYPERLINK("https://docs.wto.org/imrd/directdoc.asp?DDFDocuments/t/G/SPS/NUKR107A1.DOC")</f>
        <v>https://docs.wto.org/imrd/directdoc.asp?DDFDocuments/t/G/SPS/NUKR107A1.DOC</v>
      </c>
      <c r="L499" s="2" t="str">
        <f>HYPERLINK("https://docs.wto.org/imrd/directdoc.asp?DDFDocuments/u/G/SPS/NUKR107A1.DOC")</f>
        <v>https://docs.wto.org/imrd/directdoc.asp?DDFDocuments/u/G/SPS/NUKR107A1.DOC</v>
      </c>
      <c r="M499" s="2" t="str">
        <f>HYPERLINK("https://docs.wto.org/imrd/directdoc.asp?DDFDocuments/v/G/SPS/NUKR107A1.DOC")</f>
        <v>https://docs.wto.org/imrd/directdoc.asp?DDFDocuments/v/G/SPS/NUKR107A1.DOC</v>
      </c>
      <c r="N499" s="2" t="str">
        <f>HYPERLINK("http://www.epingalert.org/#/details/G/SPS/N/UKR/107/Add.1")</f>
        <v>http://www.epingalert.org/#/details/G/SPS/N/UKR/107/Add.1</v>
      </c>
      <c r="O499" s="2"/>
    </row>
    <row r="500" spans="1:15" ht="240" customHeight="1" outlineLevel="1" x14ac:dyDescent="0.25">
      <c r="A500" s="2" t="s">
        <v>25</v>
      </c>
      <c r="B500" s="2" t="s">
        <v>3192</v>
      </c>
      <c r="C500" s="2" t="s">
        <v>2528</v>
      </c>
      <c r="D500" s="2" t="s">
        <v>3193</v>
      </c>
      <c r="E500" s="3">
        <v>42382</v>
      </c>
      <c r="F500" s="2" t="s">
        <v>299</v>
      </c>
      <c r="G500" s="2" t="s">
        <v>3194</v>
      </c>
      <c r="H500" s="2" t="s">
        <v>2425</v>
      </c>
      <c r="I500" s="2" t="s">
        <v>3195</v>
      </c>
      <c r="J500" s="3">
        <v>42442</v>
      </c>
      <c r="K500" s="2" t="str">
        <f>HYPERLINK("https://docs.wto.org/imrd/directdoc.asp?DDFDocuments/t/G/SPS/NKOR527.DOC")</f>
        <v>https://docs.wto.org/imrd/directdoc.asp?DDFDocuments/t/G/SPS/NKOR527.DOC</v>
      </c>
      <c r="L500" s="2" t="str">
        <f>HYPERLINK("https://docs.wto.org/imrd/directdoc.asp?DDFDocuments/u/G/SPS/NKOR527.DOC")</f>
        <v>https://docs.wto.org/imrd/directdoc.asp?DDFDocuments/u/G/SPS/NKOR527.DOC</v>
      </c>
      <c r="M500" s="2" t="str">
        <f>HYPERLINK("https://docs.wto.org/imrd/directdoc.asp?DDFDocuments/v/G/SPS/NKOR527.DOC")</f>
        <v>https://docs.wto.org/imrd/directdoc.asp?DDFDocuments/v/G/SPS/NKOR527.DOC</v>
      </c>
      <c r="N500" s="2" t="str">
        <f>HYPERLINK("http://www.epingalert.org/#/details/G/SPS/N/KOR/527")</f>
        <v>http://www.epingalert.org/#/details/G/SPS/N/KOR/527</v>
      </c>
      <c r="O500" s="2" t="s">
        <v>8886</v>
      </c>
    </row>
    <row r="501" spans="1:15" ht="240" customHeight="1" outlineLevel="1" x14ac:dyDescent="0.25">
      <c r="A501" s="2" t="s">
        <v>282</v>
      </c>
      <c r="B501" s="2" t="s">
        <v>3189</v>
      </c>
      <c r="C501" s="2"/>
      <c r="D501" s="2"/>
      <c r="E501" s="3">
        <v>42382</v>
      </c>
      <c r="F501" s="2" t="s">
        <v>3190</v>
      </c>
      <c r="G501" s="2" t="s">
        <v>3191</v>
      </c>
      <c r="H501" s="2" t="s">
        <v>2467</v>
      </c>
      <c r="I501" s="2" t="s">
        <v>2713</v>
      </c>
      <c r="J501" s="2"/>
      <c r="K501" s="2" t="str">
        <f>HYPERLINK("https://docs.wto.org/imrd/directdoc.asp?DDFDocuments/t/G/SPS/NRUS117C1.DOC")</f>
        <v>https://docs.wto.org/imrd/directdoc.asp?DDFDocuments/t/G/SPS/NRUS117C1.DOC</v>
      </c>
      <c r="L501" s="2" t="str">
        <f>HYPERLINK("https://docs.wto.org/imrd/directdoc.asp?DDFDocuments/u/G/SPS/NRUS117C1.DOC")</f>
        <v>https://docs.wto.org/imrd/directdoc.asp?DDFDocuments/u/G/SPS/NRUS117C1.DOC</v>
      </c>
      <c r="M501" s="2" t="str">
        <f>HYPERLINK("https://docs.wto.org/imrd/directdoc.asp?DDFDocuments/v/G/SPS/NRUS117C1.DOC")</f>
        <v>https://docs.wto.org/imrd/directdoc.asp?DDFDocuments/v/G/SPS/NRUS117C1.DOC</v>
      </c>
      <c r="N501" s="2" t="str">
        <f>HYPERLINK("http://www.epingalert.org/#/details/G/SPS/N/RUS/117/Corr.1")</f>
        <v>http://www.epingalert.org/#/details/G/SPS/N/RUS/117/Corr.1</v>
      </c>
      <c r="O501" s="2"/>
    </row>
    <row r="502" spans="1:15" ht="240" customHeight="1" outlineLevel="1" x14ac:dyDescent="0.25">
      <c r="A502" s="2" t="s">
        <v>31</v>
      </c>
      <c r="B502" s="2" t="s">
        <v>3200</v>
      </c>
      <c r="C502" s="2" t="s">
        <v>3201</v>
      </c>
      <c r="D502" s="2" t="s">
        <v>3202</v>
      </c>
      <c r="E502" s="3">
        <v>42377</v>
      </c>
      <c r="F502" s="8" t="s">
        <v>3203</v>
      </c>
      <c r="G502" s="2"/>
      <c r="H502" s="2" t="s">
        <v>2425</v>
      </c>
      <c r="I502" s="2" t="s">
        <v>2426</v>
      </c>
      <c r="J502" s="3">
        <v>42437</v>
      </c>
      <c r="K502" s="2" t="str">
        <f>HYPERLINK("https://docs.wto.org/imrd/directdoc.asp?DDFDocuments/t/G/SPS/NTHA234.DOC")</f>
        <v>https://docs.wto.org/imrd/directdoc.asp?DDFDocuments/t/G/SPS/NTHA234.DOC</v>
      </c>
      <c r="L502" s="2" t="str">
        <f>HYPERLINK("https://docs.wto.org/imrd/directdoc.asp?DDFDocuments/u/G/SPS/NTHA234.DOC")</f>
        <v>https://docs.wto.org/imrd/directdoc.asp?DDFDocuments/u/G/SPS/NTHA234.DOC</v>
      </c>
      <c r="M502" s="2" t="str">
        <f>HYPERLINK("https://docs.wto.org/imrd/directdoc.asp?DDFDocuments/v/G/SPS/NTHA234.DOC")</f>
        <v>https://docs.wto.org/imrd/directdoc.asp?DDFDocuments/v/G/SPS/NTHA234.DOC</v>
      </c>
      <c r="N502" s="2" t="str">
        <f>HYPERLINK("http://www.epingalert.org/#/details/G/SPS/N/THA/234")</f>
        <v>http://www.epingalert.org/#/details/G/SPS/N/THA/234</v>
      </c>
      <c r="O502" s="2" t="s">
        <v>8881</v>
      </c>
    </row>
    <row r="503" spans="1:15" ht="240" customHeight="1" outlineLevel="1" x14ac:dyDescent="0.25">
      <c r="A503" s="2" t="s">
        <v>173</v>
      </c>
      <c r="B503" s="2" t="s">
        <v>3208</v>
      </c>
      <c r="C503" s="2" t="s">
        <v>3209</v>
      </c>
      <c r="D503" s="2" t="s">
        <v>421</v>
      </c>
      <c r="E503" s="3">
        <v>42377</v>
      </c>
      <c r="F503" s="2" t="s">
        <v>3210</v>
      </c>
      <c r="G503" s="2"/>
      <c r="H503" s="2" t="s">
        <v>2425</v>
      </c>
      <c r="I503" s="2" t="s">
        <v>2461</v>
      </c>
      <c r="J503" s="3">
        <v>42437</v>
      </c>
      <c r="K503" s="2" t="str">
        <f>HYPERLINK("https://docs.wto.org/imrd/directdoc.asp?DDFDocuments/t/G/SPS/NSAU194.DOC")</f>
        <v>https://docs.wto.org/imrd/directdoc.asp?DDFDocuments/t/G/SPS/NSAU194.DOC</v>
      </c>
      <c r="L503" s="2" t="str">
        <f>HYPERLINK("https://docs.wto.org/imrd/directdoc.asp?DDFDocuments/u/G/SPS/NSAU194.DOC")</f>
        <v>https://docs.wto.org/imrd/directdoc.asp?DDFDocuments/u/G/SPS/NSAU194.DOC</v>
      </c>
      <c r="M503" s="2" t="str">
        <f>HYPERLINK("https://docs.wto.org/imrd/directdoc.asp?DDFDocuments/v/G/SPS/NSAU194.DOC")</f>
        <v>https://docs.wto.org/imrd/directdoc.asp?DDFDocuments/v/G/SPS/NSAU194.DOC</v>
      </c>
      <c r="N503" s="2" t="str">
        <f>HYPERLINK("http://www.epingalert.org/#/details/G/SPS/N/SAU/194")</f>
        <v>http://www.epingalert.org/#/details/G/SPS/N/SAU/194</v>
      </c>
      <c r="O503" s="2"/>
    </row>
    <row r="504" spans="1:15" ht="240" customHeight="1" outlineLevel="1" x14ac:dyDescent="0.25">
      <c r="A504" s="2" t="s">
        <v>173</v>
      </c>
      <c r="B504" s="2" t="s">
        <v>7242</v>
      </c>
      <c r="C504" s="2" t="s">
        <v>7243</v>
      </c>
      <c r="D504" s="2" t="s">
        <v>7244</v>
      </c>
      <c r="E504" s="3">
        <v>42377</v>
      </c>
      <c r="F504" s="2" t="s">
        <v>7245</v>
      </c>
      <c r="G504" s="2" t="s">
        <v>2039</v>
      </c>
      <c r="H504" s="2" t="s">
        <v>2573</v>
      </c>
      <c r="I504" s="2" t="s">
        <v>3081</v>
      </c>
      <c r="J504" s="3">
        <v>42437</v>
      </c>
      <c r="K504" s="2" t="str">
        <f>HYPERLINK("https://docs.wto.org/imrd/directdoc.asp?DDFDocuments/t/G/SPS/NSAU195.DOC")</f>
        <v>https://docs.wto.org/imrd/directdoc.asp?DDFDocuments/t/G/SPS/NSAU195.DOC</v>
      </c>
      <c r="L504" s="2" t="str">
        <f>HYPERLINK("https://docs.wto.org/imrd/directdoc.asp?DDFDocuments/u/G/SPS/NSAU195.DOC")</f>
        <v>https://docs.wto.org/imrd/directdoc.asp?DDFDocuments/u/G/SPS/NSAU195.DOC</v>
      </c>
      <c r="M504" s="2" t="str">
        <f>HYPERLINK("https://docs.wto.org/imrd/directdoc.asp?DDFDocuments/v/G/SPS/NSAU195.DOC")</f>
        <v>https://docs.wto.org/imrd/directdoc.asp?DDFDocuments/v/G/SPS/NSAU195.DOC</v>
      </c>
      <c r="N504" s="2" t="str">
        <f>HYPERLINK("http://www.epingalert.org/#/details/G/SPS/N/SAU/195")</f>
        <v>http://www.epingalert.org/#/details/G/SPS/N/SAU/195</v>
      </c>
      <c r="O504" s="2"/>
    </row>
    <row r="505" spans="1:15" ht="240" customHeight="1" outlineLevel="1" x14ac:dyDescent="0.25">
      <c r="A505" s="2" t="s">
        <v>2930</v>
      </c>
      <c r="B505" s="2" t="s">
        <v>3196</v>
      </c>
      <c r="C505" s="2"/>
      <c r="D505" s="2"/>
      <c r="E505" s="3">
        <v>42377</v>
      </c>
      <c r="F505" s="2" t="s">
        <v>46</v>
      </c>
      <c r="G505" s="2"/>
      <c r="H505" s="2" t="s">
        <v>2425</v>
      </c>
      <c r="I505" s="2" t="s">
        <v>2672</v>
      </c>
      <c r="J505" s="3">
        <v>42416</v>
      </c>
      <c r="K505" s="2" t="str">
        <f>HYPERLINK("https://docs.wto.org/imrd/directdoc.asp?DDFDocuments/t/G/SPS/NLKA38A1.DOC")</f>
        <v>https://docs.wto.org/imrd/directdoc.asp?DDFDocuments/t/G/SPS/NLKA38A1.DOC</v>
      </c>
      <c r="L505" s="2" t="str">
        <f>HYPERLINK("https://docs.wto.org/imrd/directdoc.asp?DDFDocuments/u/G/SPS/NLKA38A1.DOC")</f>
        <v>https://docs.wto.org/imrd/directdoc.asp?DDFDocuments/u/G/SPS/NLKA38A1.DOC</v>
      </c>
      <c r="M505" s="2" t="str">
        <f>HYPERLINK("https://docs.wto.org/imrd/directdoc.asp?DDFDocuments/v/G/SPS/NLKA38A1.DOC")</f>
        <v>https://docs.wto.org/imrd/directdoc.asp?DDFDocuments/v/G/SPS/NLKA38A1.DOC</v>
      </c>
      <c r="N505" s="2" t="str">
        <f>HYPERLINK("http://www.epingalert.org/#/details/G/SPS/N/LKA/38/Add.1")</f>
        <v>http://www.epingalert.org/#/details/G/SPS/N/LKA/38/Add.1</v>
      </c>
      <c r="O505" s="2"/>
    </row>
    <row r="506" spans="1:15" ht="240" customHeight="1" outlineLevel="1" x14ac:dyDescent="0.25">
      <c r="A506" s="2" t="s">
        <v>25</v>
      </c>
      <c r="B506" s="2" t="s">
        <v>3197</v>
      </c>
      <c r="C506" s="2" t="s">
        <v>3198</v>
      </c>
      <c r="D506" s="2" t="s">
        <v>3199</v>
      </c>
      <c r="E506" s="3">
        <v>42377</v>
      </c>
      <c r="F506" s="2" t="s">
        <v>210</v>
      </c>
      <c r="G506" s="2"/>
      <c r="H506" s="2" t="s">
        <v>2425</v>
      </c>
      <c r="I506" s="2" t="s">
        <v>2461</v>
      </c>
      <c r="J506" s="3">
        <v>42415</v>
      </c>
      <c r="K506" s="2" t="str">
        <f>HYPERLINK("https://docs.wto.org/imrd/directdoc.asp?DDFDocuments/t/G/SPS/NKOR526.DOC")</f>
        <v>https://docs.wto.org/imrd/directdoc.asp?DDFDocuments/t/G/SPS/NKOR526.DOC</v>
      </c>
      <c r="L506" s="2" t="str">
        <f>HYPERLINK("https://docs.wto.org/imrd/directdoc.asp?DDFDocuments/u/G/SPS/NKOR526.DOC")</f>
        <v>https://docs.wto.org/imrd/directdoc.asp?DDFDocuments/u/G/SPS/NKOR526.DOC</v>
      </c>
      <c r="M506" s="2" t="str">
        <f>HYPERLINK("https://docs.wto.org/imrd/directdoc.asp?DDFDocuments/v/G/SPS/NKOR526.DOC")</f>
        <v>https://docs.wto.org/imrd/directdoc.asp?DDFDocuments/v/G/SPS/NKOR526.DOC</v>
      </c>
      <c r="N506" s="2" t="str">
        <f>HYPERLINK("http://www.epingalert.org/#/details/G/SPS/N/KOR/526")</f>
        <v>http://www.epingalert.org/#/details/G/SPS/N/KOR/526</v>
      </c>
      <c r="O506" s="2"/>
    </row>
    <row r="507" spans="1:15" ht="240" customHeight="1" outlineLevel="1" x14ac:dyDescent="0.25">
      <c r="A507" s="2" t="s">
        <v>25</v>
      </c>
      <c r="B507" s="2" t="s">
        <v>3204</v>
      </c>
      <c r="C507" s="2" t="s">
        <v>3205</v>
      </c>
      <c r="D507" s="2" t="s">
        <v>3206</v>
      </c>
      <c r="E507" s="3">
        <v>42377</v>
      </c>
      <c r="F507" s="2" t="s">
        <v>210</v>
      </c>
      <c r="G507" s="2" t="s">
        <v>3207</v>
      </c>
      <c r="H507" s="2" t="s">
        <v>2425</v>
      </c>
      <c r="I507" s="2" t="s">
        <v>2535</v>
      </c>
      <c r="J507" s="3">
        <v>42400</v>
      </c>
      <c r="K507" s="2" t="str">
        <f>HYPERLINK("https://docs.wto.org/imrd/directdoc.asp?DDFDocuments/t/G/SPS/NKOR525.DOC")</f>
        <v>https://docs.wto.org/imrd/directdoc.asp?DDFDocuments/t/G/SPS/NKOR525.DOC</v>
      </c>
      <c r="L507" s="2" t="str">
        <f>HYPERLINK("https://docs.wto.org/imrd/directdoc.asp?DDFDocuments/u/G/SPS/NKOR525.DOC")</f>
        <v>https://docs.wto.org/imrd/directdoc.asp?DDFDocuments/u/G/SPS/NKOR525.DOC</v>
      </c>
      <c r="M507" s="2" t="str">
        <f>HYPERLINK("https://docs.wto.org/imrd/directdoc.asp?DDFDocuments/v/G/SPS/NKOR525.DOC")</f>
        <v>https://docs.wto.org/imrd/directdoc.asp?DDFDocuments/v/G/SPS/NKOR525.DOC</v>
      </c>
      <c r="N507" s="2" t="str">
        <f>HYPERLINK("http://www.epingalert.org/#/details/G/SPS/N/KOR/525")</f>
        <v>http://www.epingalert.org/#/details/G/SPS/N/KOR/525</v>
      </c>
      <c r="O507" s="2"/>
    </row>
    <row r="508" spans="1:15" ht="240" customHeight="1" outlineLevel="1" x14ac:dyDescent="0.25">
      <c r="A508" s="2" t="s">
        <v>12</v>
      </c>
      <c r="B508" s="2" t="s">
        <v>7236</v>
      </c>
      <c r="C508" s="2" t="s">
        <v>7237</v>
      </c>
      <c r="D508" s="2" t="s">
        <v>7238</v>
      </c>
      <c r="E508" s="3">
        <v>42377</v>
      </c>
      <c r="F508" s="2" t="s">
        <v>7239</v>
      </c>
      <c r="G508" s="2" t="s">
        <v>7240</v>
      </c>
      <c r="H508" s="2" t="s">
        <v>2425</v>
      </c>
      <c r="I508" s="2" t="s">
        <v>7241</v>
      </c>
      <c r="J508" s="2"/>
      <c r="K508" s="2" t="str">
        <f>HYPERLINK("https://docs.wto.org/imrd/directdoc.asp?DDFDocuments/t/G/SPS/NEU153.DOC")</f>
        <v>https://docs.wto.org/imrd/directdoc.asp?DDFDocuments/t/G/SPS/NEU153.DOC</v>
      </c>
      <c r="L508" s="2" t="str">
        <f>HYPERLINK("https://docs.wto.org/imrd/directdoc.asp?DDFDocuments/u/G/SPS/NEU153.DOC")</f>
        <v>https://docs.wto.org/imrd/directdoc.asp?DDFDocuments/u/G/SPS/NEU153.DOC</v>
      </c>
      <c r="M508" s="2" t="str">
        <f>HYPERLINK("https://docs.wto.org/imrd/directdoc.asp?DDFDocuments/v/G/SPS/NEU153.DOC")</f>
        <v>https://docs.wto.org/imrd/directdoc.asp?DDFDocuments/v/G/SPS/NEU153.DOC</v>
      </c>
      <c r="N508" s="2" t="str">
        <f>HYPERLINK("http://www.epingalert.org/#/details/G/SPS/N/EU/153")</f>
        <v>http://www.epingalert.org/#/details/G/SPS/N/EU/153</v>
      </c>
      <c r="O508" s="2"/>
    </row>
    <row r="509" spans="1:15" ht="240" customHeight="1" outlineLevel="1" x14ac:dyDescent="0.25">
      <c r="A509" s="2" t="s">
        <v>77</v>
      </c>
      <c r="B509" s="2" t="s">
        <v>7246</v>
      </c>
      <c r="C509" s="2" t="s">
        <v>7247</v>
      </c>
      <c r="D509" s="2" t="s">
        <v>7248</v>
      </c>
      <c r="E509" s="3">
        <v>42376</v>
      </c>
      <c r="F509" s="2" t="s">
        <v>7091</v>
      </c>
      <c r="G509" s="2" t="s">
        <v>5686</v>
      </c>
      <c r="H509" s="2" t="s">
        <v>2425</v>
      </c>
      <c r="I509" s="2" t="s">
        <v>2461</v>
      </c>
      <c r="J509" s="3">
        <v>42436</v>
      </c>
      <c r="K509" s="2" t="str">
        <f>HYPERLINK("https://docs.wto.org/imrd/directdoc.asp?DDFDocuments/t/G/SPS/NTPKM381.DOC")</f>
        <v>https://docs.wto.org/imrd/directdoc.asp?DDFDocuments/t/G/SPS/NTPKM381.DOC</v>
      </c>
      <c r="L509" s="2" t="str">
        <f>HYPERLINK("https://docs.wto.org/imrd/directdoc.asp?DDFDocuments/u/G/SPS/NTPKM381.DOC")</f>
        <v>https://docs.wto.org/imrd/directdoc.asp?DDFDocuments/u/G/SPS/NTPKM381.DOC</v>
      </c>
      <c r="M509" s="2" t="str">
        <f>HYPERLINK("https://docs.wto.org/imrd/directdoc.asp?DDFDocuments/v/G/SPS/NTPKM381.DOC")</f>
        <v>https://docs.wto.org/imrd/directdoc.asp?DDFDocuments/v/G/SPS/NTPKM381.DOC</v>
      </c>
      <c r="N509" s="2" t="str">
        <f>HYPERLINK("http://www.epingalert.org/#/details/G/SPS/N/TPKM/381")</f>
        <v>http://www.epingalert.org/#/details/G/SPS/N/TPKM/381</v>
      </c>
      <c r="O509" s="2"/>
    </row>
    <row r="510" spans="1:15" ht="240" customHeight="1" outlineLevel="1" x14ac:dyDescent="0.25">
      <c r="A510" s="2" t="s">
        <v>18</v>
      </c>
      <c r="B510" s="2" t="s">
        <v>3216</v>
      </c>
      <c r="C510" s="2" t="s">
        <v>3217</v>
      </c>
      <c r="D510" s="2" t="s">
        <v>3218</v>
      </c>
      <c r="E510" s="3">
        <v>42375</v>
      </c>
      <c r="F510" s="2" t="s">
        <v>2836</v>
      </c>
      <c r="G510" s="2" t="s">
        <v>2837</v>
      </c>
      <c r="H510" s="2" t="s">
        <v>2425</v>
      </c>
      <c r="I510" s="2" t="s">
        <v>2426</v>
      </c>
      <c r="J510" s="3">
        <v>42433</v>
      </c>
      <c r="K510" s="2" t="str">
        <f>HYPERLINK("https://docs.wto.org/imrd/directdoc.asp?DDFDocuments/t/G/SPS/NUSA2810.DOC")</f>
        <v>https://docs.wto.org/imrd/directdoc.asp?DDFDocuments/t/G/SPS/NUSA2810.DOC</v>
      </c>
      <c r="L510" s="2" t="str">
        <f>HYPERLINK("https://docs.wto.org/imrd/directdoc.asp?DDFDocuments/u/G/SPS/NUSA2810.DOC")</f>
        <v>https://docs.wto.org/imrd/directdoc.asp?DDFDocuments/u/G/SPS/NUSA2810.DOC</v>
      </c>
      <c r="M510" s="2" t="str">
        <f>HYPERLINK("https://docs.wto.org/imrd/directdoc.asp?DDFDocuments/v/G/SPS/NUSA2810.DOC")</f>
        <v>https://docs.wto.org/imrd/directdoc.asp?DDFDocuments/v/G/SPS/NUSA2810.DOC</v>
      </c>
      <c r="N510" s="2" t="str">
        <f>HYPERLINK("http://www.epingalert.org/#/details/G/SPS/N/USA/2810")</f>
        <v>http://www.epingalert.org/#/details/G/SPS/N/USA/2810</v>
      </c>
      <c r="O510" s="2"/>
    </row>
    <row r="511" spans="1:15" ht="240" customHeight="1" outlineLevel="1" x14ac:dyDescent="0.25">
      <c r="A511" s="2" t="s">
        <v>25</v>
      </c>
      <c r="B511" s="2" t="s">
        <v>3219</v>
      </c>
      <c r="C511" s="2" t="s">
        <v>3220</v>
      </c>
      <c r="D511" s="2" t="s">
        <v>3221</v>
      </c>
      <c r="E511" s="3">
        <v>42375</v>
      </c>
      <c r="F511" s="2" t="s">
        <v>210</v>
      </c>
      <c r="G511" s="2" t="s">
        <v>3049</v>
      </c>
      <c r="H511" s="2" t="s">
        <v>2425</v>
      </c>
      <c r="I511" s="2" t="s">
        <v>2558</v>
      </c>
      <c r="J511" s="3">
        <v>42400</v>
      </c>
      <c r="K511" s="2" t="str">
        <f>HYPERLINK("https://docs.wto.org/imrd/directdoc.asp?DDFDocuments/t/G/SPS/NKOR524.DOC")</f>
        <v>https://docs.wto.org/imrd/directdoc.asp?DDFDocuments/t/G/SPS/NKOR524.DOC</v>
      </c>
      <c r="L511" s="2" t="str">
        <f>HYPERLINK("https://docs.wto.org/imrd/directdoc.asp?DDFDocuments/u/G/SPS/NKOR524.DOC")</f>
        <v>https://docs.wto.org/imrd/directdoc.asp?DDFDocuments/u/G/SPS/NKOR524.DOC</v>
      </c>
      <c r="M511" s="2" t="str">
        <f>HYPERLINK("https://docs.wto.org/imrd/directdoc.asp?DDFDocuments/v/G/SPS/NKOR524.DOC")</f>
        <v>https://docs.wto.org/imrd/directdoc.asp?DDFDocuments/v/G/SPS/NKOR524.DOC</v>
      </c>
      <c r="N511" s="2" t="str">
        <f>HYPERLINK("http://www.epingalert.org/#/details/G/SPS/N/KOR/524")</f>
        <v>http://www.epingalert.org/#/details/G/SPS/N/KOR/524</v>
      </c>
      <c r="O511" s="2"/>
    </row>
    <row r="512" spans="1:15" ht="240" customHeight="1" outlineLevel="1" x14ac:dyDescent="0.25">
      <c r="A512" s="2" t="s">
        <v>18</v>
      </c>
      <c r="B512" s="2" t="s">
        <v>3211</v>
      </c>
      <c r="C512" s="2"/>
      <c r="D512" s="2"/>
      <c r="E512" s="3">
        <v>42375</v>
      </c>
      <c r="F512" s="2" t="s">
        <v>3212</v>
      </c>
      <c r="G512" s="2" t="s">
        <v>3213</v>
      </c>
      <c r="H512" s="2" t="s">
        <v>2425</v>
      </c>
      <c r="I512" s="2" t="s">
        <v>2444</v>
      </c>
      <c r="J512" s="2"/>
      <c r="K512" s="2" t="str">
        <f>HYPERLINK("https://docs.wto.org/imrd/directdoc.asp?DDFDocuments/t/G/SPS/NUSA2749A1.DOC")</f>
        <v>https://docs.wto.org/imrd/directdoc.asp?DDFDocuments/t/G/SPS/NUSA2749A1.DOC</v>
      </c>
      <c r="L512" s="2" t="str">
        <f>HYPERLINK("https://docs.wto.org/imrd/directdoc.asp?DDFDocuments/u/G/SPS/NUSA2749A1.DOC")</f>
        <v>https://docs.wto.org/imrd/directdoc.asp?DDFDocuments/u/G/SPS/NUSA2749A1.DOC</v>
      </c>
      <c r="M512" s="2" t="str">
        <f>HYPERLINK("https://docs.wto.org/imrd/directdoc.asp?DDFDocuments/v/G/SPS/NUSA2749A1.DOC")</f>
        <v>https://docs.wto.org/imrd/directdoc.asp?DDFDocuments/v/G/SPS/NUSA2749A1.DOC</v>
      </c>
      <c r="N512" s="2" t="str">
        <f>HYPERLINK("http://www.epingalert.org/#/details/G/SPS/N/USA/2749/Add.1")</f>
        <v>http://www.epingalert.org/#/details/G/SPS/N/USA/2749/Add.1</v>
      </c>
      <c r="O512" s="2"/>
    </row>
    <row r="513" spans="1:15" ht="240" customHeight="1" outlineLevel="1" x14ac:dyDescent="0.25">
      <c r="A513" s="2" t="s">
        <v>18</v>
      </c>
      <c r="B513" s="2" t="s">
        <v>3214</v>
      </c>
      <c r="C513" s="2"/>
      <c r="D513" s="2"/>
      <c r="E513" s="3">
        <v>42375</v>
      </c>
      <c r="F513" s="2" t="s">
        <v>3215</v>
      </c>
      <c r="G513" s="2" t="s">
        <v>1646</v>
      </c>
      <c r="H513" s="2" t="s">
        <v>2425</v>
      </c>
      <c r="I513" s="2" t="s">
        <v>2444</v>
      </c>
      <c r="J513" s="2"/>
      <c r="K513" s="2" t="str">
        <f>HYPERLINK("https://docs.wto.org/imrd/directdoc.asp?DDFDocuments/t/G/SPS/NUSA2754A2.DOC")</f>
        <v>https://docs.wto.org/imrd/directdoc.asp?DDFDocuments/t/G/SPS/NUSA2754A2.DOC</v>
      </c>
      <c r="L513" s="2" t="str">
        <f>HYPERLINK("https://docs.wto.org/imrd/directdoc.asp?DDFDocuments/u/G/SPS/NUSA2754A2.DOC")</f>
        <v>https://docs.wto.org/imrd/directdoc.asp?DDFDocuments/u/G/SPS/NUSA2754A2.DOC</v>
      </c>
      <c r="M513" s="2" t="str">
        <f>HYPERLINK("https://docs.wto.org/imrd/directdoc.asp?DDFDocuments/v/G/SPS/NUSA2754A2.DOC")</f>
        <v>https://docs.wto.org/imrd/directdoc.asp?DDFDocuments/v/G/SPS/NUSA2754A2.DOC</v>
      </c>
      <c r="N513" s="2" t="str">
        <f>HYPERLINK("http://www.epingalert.org/#/details/G/SPS/N/USA/2754/Add.2")</f>
        <v>http://www.epingalert.org/#/details/G/SPS/N/USA/2754/Add.2</v>
      </c>
      <c r="O513" s="2"/>
    </row>
    <row r="514" spans="1:15" ht="240" customHeight="1" outlineLevel="1" x14ac:dyDescent="0.25">
      <c r="A514" s="2" t="s">
        <v>31</v>
      </c>
      <c r="B514" s="2" t="s">
        <v>3222</v>
      </c>
      <c r="C514" s="2"/>
      <c r="D514" s="2"/>
      <c r="E514" s="3">
        <v>42374</v>
      </c>
      <c r="F514" s="2" t="s">
        <v>3223</v>
      </c>
      <c r="G514" s="2"/>
      <c r="H514" s="2" t="s">
        <v>2425</v>
      </c>
      <c r="I514" s="2" t="s">
        <v>2444</v>
      </c>
      <c r="J514" s="2"/>
      <c r="K514" s="2" t="str">
        <f>HYPERLINK("https://docs.wto.org/imrd/directdoc.asp?DDFDocuments/t/G/SPS/NTHA230A1.DOC")</f>
        <v>https://docs.wto.org/imrd/directdoc.asp?DDFDocuments/t/G/SPS/NTHA230A1.DOC</v>
      </c>
      <c r="L514" s="2" t="str">
        <f>HYPERLINK("https://docs.wto.org/imrd/directdoc.asp?DDFDocuments/u/G/SPS/NTHA230A1.DOC")</f>
        <v>https://docs.wto.org/imrd/directdoc.asp?DDFDocuments/u/G/SPS/NTHA230A1.DOC</v>
      </c>
      <c r="M514" s="2" t="str">
        <f>HYPERLINK("https://docs.wto.org/imrd/directdoc.asp?DDFDocuments/v/G/SPS/NTHA230A1.DOC")</f>
        <v>https://docs.wto.org/imrd/directdoc.asp?DDFDocuments/v/G/SPS/NTHA230A1.DOC</v>
      </c>
      <c r="N514" s="2" t="str">
        <f>HYPERLINK("http://www.epingalert.org/#/details/G/SPS/N/THA/230/Add.1")</f>
        <v>http://www.epingalert.org/#/details/G/SPS/N/THA/230/Add.1</v>
      </c>
      <c r="O514" s="2"/>
    </row>
    <row r="515" spans="1:15" ht="240" customHeight="1" outlineLevel="1" x14ac:dyDescent="0.25">
      <c r="A515" s="2" t="s">
        <v>121</v>
      </c>
      <c r="B515" s="2" t="s">
        <v>3224</v>
      </c>
      <c r="C515" s="2" t="s">
        <v>3225</v>
      </c>
      <c r="D515" s="2" t="s">
        <v>3226</v>
      </c>
      <c r="E515" s="3">
        <v>42373</v>
      </c>
      <c r="F515" s="2" t="s">
        <v>3227</v>
      </c>
      <c r="G515" s="2"/>
      <c r="H515" s="2" t="s">
        <v>2425</v>
      </c>
      <c r="I515" s="2" t="s">
        <v>2447</v>
      </c>
      <c r="J515" s="3">
        <v>42433</v>
      </c>
      <c r="K515" s="2" t="str">
        <f>HYPERLINK("https://docs.wto.org/imrd/directdoc.asp?DDFDocuments/t/G/SPS/NIND123.DOC")</f>
        <v>https://docs.wto.org/imrd/directdoc.asp?DDFDocuments/t/G/SPS/NIND123.DOC</v>
      </c>
      <c r="L515" s="2" t="str">
        <f>HYPERLINK("https://docs.wto.org/imrd/directdoc.asp?DDFDocuments/u/G/SPS/NIND123.DOC")</f>
        <v>https://docs.wto.org/imrd/directdoc.asp?DDFDocuments/u/G/SPS/NIND123.DOC</v>
      </c>
      <c r="M515" s="2" t="str">
        <f>HYPERLINK("https://docs.wto.org/imrd/directdoc.asp?DDFDocuments/v/G/SPS/NIND123.DOC")</f>
        <v>https://docs.wto.org/imrd/directdoc.asp?DDFDocuments/v/G/SPS/NIND123.DOC</v>
      </c>
      <c r="N515" s="2" t="str">
        <f>HYPERLINK("http://www.epingalert.org/#/details/G/SPS/N/IND/123")</f>
        <v>http://www.epingalert.org/#/details/G/SPS/N/IND/123</v>
      </c>
      <c r="O515" s="2"/>
    </row>
    <row r="516" spans="1:15" ht="240" customHeight="1" outlineLevel="1" x14ac:dyDescent="0.25">
      <c r="A516" s="2" t="s">
        <v>121</v>
      </c>
      <c r="B516" s="2" t="s">
        <v>3228</v>
      </c>
      <c r="C516" s="2" t="s">
        <v>3229</v>
      </c>
      <c r="D516" s="2" t="s">
        <v>3230</v>
      </c>
      <c r="E516" s="3">
        <v>42373</v>
      </c>
      <c r="F516" s="2" t="s">
        <v>2555</v>
      </c>
      <c r="G516" s="2"/>
      <c r="H516" s="2" t="s">
        <v>2425</v>
      </c>
      <c r="I516" s="2" t="s">
        <v>2426</v>
      </c>
      <c r="J516" s="3">
        <v>42433</v>
      </c>
      <c r="K516" s="2" t="str">
        <f>HYPERLINK("https://docs.wto.org/imrd/directdoc.asp?DDFDocuments/t/G/SPS/NIND122.DOC")</f>
        <v>https://docs.wto.org/imrd/directdoc.asp?DDFDocuments/t/G/SPS/NIND122.DOC</v>
      </c>
      <c r="L516" s="2" t="str">
        <f>HYPERLINK("https://docs.wto.org/imrd/directdoc.asp?DDFDocuments/u/G/SPS/NIND122.DOC")</f>
        <v>https://docs.wto.org/imrd/directdoc.asp?DDFDocuments/u/G/SPS/NIND122.DOC</v>
      </c>
      <c r="M516" s="2" t="str">
        <f>HYPERLINK("https://docs.wto.org/imrd/directdoc.asp?DDFDocuments/v/G/SPS/NIND122.DOC")</f>
        <v>https://docs.wto.org/imrd/directdoc.asp?DDFDocuments/v/G/SPS/NIND122.DOC</v>
      </c>
      <c r="N516" s="2" t="str">
        <f>HYPERLINK("http://www.epingalert.org/#/details/G/SPS/N/IND/122")</f>
        <v>http://www.epingalert.org/#/details/G/SPS/N/IND/122</v>
      </c>
      <c r="O516" s="2"/>
    </row>
    <row r="517" spans="1:15" ht="240" customHeight="1" outlineLevel="1" x14ac:dyDescent="0.25">
      <c r="A517" s="2" t="s">
        <v>121</v>
      </c>
      <c r="B517" s="2" t="s">
        <v>3235</v>
      </c>
      <c r="C517" s="2" t="s">
        <v>3229</v>
      </c>
      <c r="D517" s="2" t="s">
        <v>3236</v>
      </c>
      <c r="E517" s="3">
        <v>42373</v>
      </c>
      <c r="F517" s="2" t="s">
        <v>2555</v>
      </c>
      <c r="G517" s="2" t="s">
        <v>2160</v>
      </c>
      <c r="H517" s="2" t="s">
        <v>2425</v>
      </c>
      <c r="I517" s="2" t="s">
        <v>2535</v>
      </c>
      <c r="J517" s="3">
        <v>42433</v>
      </c>
      <c r="K517" s="2" t="str">
        <f>HYPERLINK("https://docs.wto.org/imrd/directdoc.asp?DDFDocuments/t/G/SPS/NIND120.DOC")</f>
        <v>https://docs.wto.org/imrd/directdoc.asp?DDFDocuments/t/G/SPS/NIND120.DOC</v>
      </c>
      <c r="L517" s="2" t="str">
        <f>HYPERLINK("https://docs.wto.org/imrd/directdoc.asp?DDFDocuments/u/G/SPS/NIND120.DOC")</f>
        <v>https://docs.wto.org/imrd/directdoc.asp?DDFDocuments/u/G/SPS/NIND120.DOC</v>
      </c>
      <c r="M517" s="2" t="str">
        <f>HYPERLINK("https://docs.wto.org/imrd/directdoc.asp?DDFDocuments/v/G/SPS/NIND120.DOC")</f>
        <v>https://docs.wto.org/imrd/directdoc.asp?DDFDocuments/v/G/SPS/NIND120.DOC</v>
      </c>
      <c r="N517" s="2" t="str">
        <f>HYPERLINK("http://www.epingalert.org/#/details/G/SPS/N/IND/120")</f>
        <v>http://www.epingalert.org/#/details/G/SPS/N/IND/120</v>
      </c>
      <c r="O517" s="2"/>
    </row>
    <row r="518" spans="1:15" ht="240" customHeight="1" outlineLevel="1" x14ac:dyDescent="0.25">
      <c r="A518" s="2" t="s">
        <v>121</v>
      </c>
      <c r="B518" s="2" t="s">
        <v>3231</v>
      </c>
      <c r="C518" s="2" t="s">
        <v>3232</v>
      </c>
      <c r="D518" s="2" t="s">
        <v>3233</v>
      </c>
      <c r="E518" s="3">
        <v>42373</v>
      </c>
      <c r="F518" s="2" t="s">
        <v>3234</v>
      </c>
      <c r="G518" s="2" t="s">
        <v>3049</v>
      </c>
      <c r="H518" s="2" t="s">
        <v>2425</v>
      </c>
      <c r="I518" s="2" t="s">
        <v>2431</v>
      </c>
      <c r="J518" s="3">
        <v>42433</v>
      </c>
      <c r="K518" s="2" t="str">
        <f>HYPERLINK("https://docs.wto.org/imrd/directdoc.asp?DDFDocuments/t/G/SPS/NIND121.DOC")</f>
        <v>https://docs.wto.org/imrd/directdoc.asp?DDFDocuments/t/G/SPS/NIND121.DOC</v>
      </c>
      <c r="L518" s="2" t="str">
        <f>HYPERLINK("https://docs.wto.org/imrd/directdoc.asp?DDFDocuments/u/G/SPS/NIND121.DOC")</f>
        <v>https://docs.wto.org/imrd/directdoc.asp?DDFDocuments/u/G/SPS/NIND121.DOC</v>
      </c>
      <c r="M518" s="2" t="str">
        <f>HYPERLINK("https://docs.wto.org/imrd/directdoc.asp?DDFDocuments/v/G/SPS/NIND121.DOC")</f>
        <v>https://docs.wto.org/imrd/directdoc.asp?DDFDocuments/v/G/SPS/NIND121.DOC</v>
      </c>
      <c r="N518" s="2" t="str">
        <f>HYPERLINK("http://www.epingalert.org/#/details/G/SPS/N/IND/121")</f>
        <v>http://www.epingalert.org/#/details/G/SPS/N/IND/121</v>
      </c>
      <c r="O518" s="2"/>
    </row>
    <row r="519" spans="1:15" ht="240" customHeight="1" outlineLevel="1" x14ac:dyDescent="0.25">
      <c r="A519" s="2" t="s">
        <v>154</v>
      </c>
      <c r="B519" s="2" t="s">
        <v>7253</v>
      </c>
      <c r="C519" s="2" t="s">
        <v>7254</v>
      </c>
      <c r="D519" s="2" t="s">
        <v>7255</v>
      </c>
      <c r="E519" s="3">
        <v>42373</v>
      </c>
      <c r="F519" s="2" t="s">
        <v>7256</v>
      </c>
      <c r="G519" s="2" t="s">
        <v>7257</v>
      </c>
      <c r="H519" s="2" t="s">
        <v>7196</v>
      </c>
      <c r="I519" s="2" t="s">
        <v>7258</v>
      </c>
      <c r="J519" s="3">
        <v>42433</v>
      </c>
      <c r="K519" s="2" t="str">
        <f>HYPERLINK("https://docs.wto.org/imrd/directdoc.asp?DDFDocuments/t/G/SPS/NIDN106.DOC")</f>
        <v>https://docs.wto.org/imrd/directdoc.asp?DDFDocuments/t/G/SPS/NIDN106.DOC</v>
      </c>
      <c r="L519" s="2" t="str">
        <f>HYPERLINK("https://docs.wto.org/imrd/directdoc.asp?DDFDocuments/u/G/SPS/NIDN106.DOC")</f>
        <v>https://docs.wto.org/imrd/directdoc.asp?DDFDocuments/u/G/SPS/NIDN106.DOC</v>
      </c>
      <c r="M519" s="2" t="str">
        <f>HYPERLINK("https://docs.wto.org/imrd/directdoc.asp?DDFDocuments/v/G/SPS/NIDN106.DOC")</f>
        <v>https://docs.wto.org/imrd/directdoc.asp?DDFDocuments/v/G/SPS/NIDN106.DOC</v>
      </c>
      <c r="N519" s="2" t="str">
        <f>HYPERLINK("http://www.epingalert.org/#/details/G/SPS/N/IDN/106")</f>
        <v>http://www.epingalert.org/#/details/G/SPS/N/IDN/106</v>
      </c>
      <c r="O519" s="2"/>
    </row>
    <row r="520" spans="1:15" ht="240" customHeight="1" outlineLevel="1" x14ac:dyDescent="0.25">
      <c r="A520" s="2" t="s">
        <v>18</v>
      </c>
      <c r="B520" s="2" t="s">
        <v>7249</v>
      </c>
      <c r="C520" s="2" t="s">
        <v>7250</v>
      </c>
      <c r="D520" s="2" t="s">
        <v>7251</v>
      </c>
      <c r="E520" s="3">
        <v>42373</v>
      </c>
      <c r="F520" s="2" t="s">
        <v>7252</v>
      </c>
      <c r="G520" s="2" t="s">
        <v>6736</v>
      </c>
      <c r="H520" s="2" t="s">
        <v>2425</v>
      </c>
      <c r="I520" s="2" t="s">
        <v>4622</v>
      </c>
      <c r="J520" s="3">
        <v>42416</v>
      </c>
      <c r="K520" s="2" t="str">
        <f>HYPERLINK("https://docs.wto.org/imrd/directdoc.asp?DDFDocuments/t/G/SPS/NUSA2809.DOC")</f>
        <v>https://docs.wto.org/imrd/directdoc.asp?DDFDocuments/t/G/SPS/NUSA2809.DOC</v>
      </c>
      <c r="L520" s="2" t="str">
        <f>HYPERLINK("https://docs.wto.org/imrd/directdoc.asp?DDFDocuments/u/G/SPS/NUSA2809.DOC")</f>
        <v>https://docs.wto.org/imrd/directdoc.asp?DDFDocuments/u/G/SPS/NUSA2809.DOC</v>
      </c>
      <c r="M520" s="2" t="str">
        <f>HYPERLINK("https://docs.wto.org/imrd/directdoc.asp?DDFDocuments/v/G/SPS/NUSA2809.DOC")</f>
        <v>https://docs.wto.org/imrd/directdoc.asp?DDFDocuments/v/G/SPS/NUSA2809.DOC</v>
      </c>
      <c r="N520" s="2" t="str">
        <f>HYPERLINK("http://www.epingalert.org/#/details/G/SPS/N/USA/2809")</f>
        <v>http://www.epingalert.org/#/details/G/SPS/N/USA/2809</v>
      </c>
      <c r="O520" s="2"/>
    </row>
    <row r="521" spans="1:15" ht="240" customHeight="1" outlineLevel="1" x14ac:dyDescent="0.25">
      <c r="A521" s="2" t="s">
        <v>225</v>
      </c>
      <c r="B521" s="2" t="s">
        <v>3237</v>
      </c>
      <c r="C521" s="2"/>
      <c r="D521" s="2"/>
      <c r="E521" s="3">
        <v>42359</v>
      </c>
      <c r="F521" s="2" t="s">
        <v>2430</v>
      </c>
      <c r="G521" s="2"/>
      <c r="H521" s="2" t="s">
        <v>2425</v>
      </c>
      <c r="I521" s="2" t="s">
        <v>2431</v>
      </c>
      <c r="J521" s="2"/>
      <c r="K521" s="2" t="str">
        <f>HYPERLINK("https://docs.wto.org/imrd/directdoc.asp?DDFDocuments/t/G/SPS/NAUS374A1.DOC")</f>
        <v>https://docs.wto.org/imrd/directdoc.asp?DDFDocuments/t/G/SPS/NAUS374A1.DOC</v>
      </c>
      <c r="L521" s="2" t="str">
        <f>HYPERLINK("https://docs.wto.org/imrd/directdoc.asp?DDFDocuments/u/G/SPS/NAUS374A1.DOC")</f>
        <v>https://docs.wto.org/imrd/directdoc.asp?DDFDocuments/u/G/SPS/NAUS374A1.DOC</v>
      </c>
      <c r="M521" s="2" t="str">
        <f>HYPERLINK("https://docs.wto.org/imrd/directdoc.asp?DDFDocuments/v/G/SPS/NAUS374A1.DOC")</f>
        <v>https://docs.wto.org/imrd/directdoc.asp?DDFDocuments/v/G/SPS/NAUS374A1.DOC</v>
      </c>
      <c r="N521" s="2" t="str">
        <f>HYPERLINK("http://www.epingalert.org/#/details/G/SPS/N/AUS/374/Add.1")</f>
        <v>http://www.epingalert.org/#/details/G/SPS/N/AUS/374/Add.1</v>
      </c>
      <c r="O521" s="2"/>
    </row>
    <row r="522" spans="1:15" ht="240" customHeight="1" outlineLevel="1" x14ac:dyDescent="0.25">
      <c r="A522" s="2" t="s">
        <v>225</v>
      </c>
      <c r="B522" s="2" t="s">
        <v>3238</v>
      </c>
      <c r="C522" s="2"/>
      <c r="D522" s="2"/>
      <c r="E522" s="3">
        <v>42359</v>
      </c>
      <c r="F522" s="2" t="s">
        <v>2430</v>
      </c>
      <c r="G522" s="2"/>
      <c r="H522" s="2" t="s">
        <v>2425</v>
      </c>
      <c r="I522" s="2" t="s">
        <v>2431</v>
      </c>
      <c r="J522" s="2"/>
      <c r="K522" s="2" t="str">
        <f>HYPERLINK("https://docs.wto.org/imrd/directdoc.asp?DDFDocuments/t/G/SPS/NAUS372A1.DOC")</f>
        <v>https://docs.wto.org/imrd/directdoc.asp?DDFDocuments/t/G/SPS/NAUS372A1.DOC</v>
      </c>
      <c r="L522" s="2" t="str">
        <f>HYPERLINK("https://docs.wto.org/imrd/directdoc.asp?DDFDocuments/u/G/SPS/NAUS372A1.DOC")</f>
        <v>https://docs.wto.org/imrd/directdoc.asp?DDFDocuments/u/G/SPS/NAUS372A1.DOC</v>
      </c>
      <c r="M522" s="2" t="str">
        <f>HYPERLINK("https://docs.wto.org/imrd/directdoc.asp?DDFDocuments/v/G/SPS/NAUS372A1.DOC")</f>
        <v>https://docs.wto.org/imrd/directdoc.asp?DDFDocuments/v/G/SPS/NAUS372A1.DOC</v>
      </c>
      <c r="N522" s="2" t="str">
        <f>HYPERLINK("http://www.epingalert.org/#/details/G/SPS/N/AUS/372/Add.1")</f>
        <v>http://www.epingalert.org/#/details/G/SPS/N/AUS/372/Add.1</v>
      </c>
      <c r="O522" s="2"/>
    </row>
    <row r="523" spans="1:15" ht="240" customHeight="1" outlineLevel="1" x14ac:dyDescent="0.25">
      <c r="A523" s="2" t="s">
        <v>18</v>
      </c>
      <c r="B523" s="2" t="s">
        <v>7259</v>
      </c>
      <c r="C523" s="2" t="s">
        <v>7260</v>
      </c>
      <c r="D523" s="2" t="s">
        <v>7261</v>
      </c>
      <c r="E523" s="3">
        <v>42356</v>
      </c>
      <c r="F523" s="2" t="s">
        <v>7262</v>
      </c>
      <c r="G523" s="2" t="s">
        <v>7263</v>
      </c>
      <c r="H523" s="2" t="s">
        <v>2467</v>
      </c>
      <c r="I523" s="2" t="s">
        <v>2713</v>
      </c>
      <c r="J523" s="3">
        <v>42444</v>
      </c>
      <c r="K523" s="2" t="str">
        <f>HYPERLINK("https://docs.wto.org/imrd/directdoc.asp?DDFDocuments/t/G/SPS/NUSA2808.DOC")</f>
        <v>https://docs.wto.org/imrd/directdoc.asp?DDFDocuments/t/G/SPS/NUSA2808.DOC</v>
      </c>
      <c r="L523" s="2" t="str">
        <f>HYPERLINK("https://docs.wto.org/imrd/directdoc.asp?DDFDocuments/u/G/SPS/NUSA2808.DOC")</f>
        <v>https://docs.wto.org/imrd/directdoc.asp?DDFDocuments/u/G/SPS/NUSA2808.DOC</v>
      </c>
      <c r="M523" s="2" t="str">
        <f>HYPERLINK("https://docs.wto.org/imrd/directdoc.asp?DDFDocuments/v/G/SPS/NUSA2808.DOC")</f>
        <v>https://docs.wto.org/imrd/directdoc.asp?DDFDocuments/v/G/SPS/NUSA2808.DOC</v>
      </c>
      <c r="N523" s="2" t="str">
        <f>HYPERLINK("http://www.epingalert.org/#/details/G/SPS/N/USA/2808")</f>
        <v>http://www.epingalert.org/#/details/G/SPS/N/USA/2808</v>
      </c>
      <c r="O523" s="2"/>
    </row>
    <row r="524" spans="1:15" ht="240" customHeight="1" outlineLevel="1" x14ac:dyDescent="0.25">
      <c r="A524" s="2" t="s">
        <v>225</v>
      </c>
      <c r="B524" s="2" t="s">
        <v>3239</v>
      </c>
      <c r="C524" s="2" t="s">
        <v>3240</v>
      </c>
      <c r="D524" s="2" t="s">
        <v>2494</v>
      </c>
      <c r="E524" s="3">
        <v>42356</v>
      </c>
      <c r="F524" s="2" t="s">
        <v>2430</v>
      </c>
      <c r="G524" s="2"/>
      <c r="H524" s="2" t="s">
        <v>2425</v>
      </c>
      <c r="I524" s="2"/>
      <c r="J524" s="3">
        <v>42429</v>
      </c>
      <c r="K524" s="2" t="str">
        <f>HYPERLINK("https://docs.wto.org/imrd/directdoc.asp?DDFDocuments/t/G/SPS/NAUS378.DOC")</f>
        <v>https://docs.wto.org/imrd/directdoc.asp?DDFDocuments/t/G/SPS/NAUS378.DOC</v>
      </c>
      <c r="L524" s="2" t="str">
        <f>HYPERLINK("https://docs.wto.org/imrd/directdoc.asp?DDFDocuments/u/G/SPS/NAUS378.DOC")</f>
        <v>https://docs.wto.org/imrd/directdoc.asp?DDFDocuments/u/G/SPS/NAUS378.DOC</v>
      </c>
      <c r="M524" s="2" t="str">
        <f>HYPERLINK("https://docs.wto.org/imrd/directdoc.asp?DDFDocuments/v/G/SPS/NAUS378.DOC")</f>
        <v>https://docs.wto.org/imrd/directdoc.asp?DDFDocuments/v/G/SPS/NAUS378.DOC</v>
      </c>
      <c r="N524" s="2" t="str">
        <f>HYPERLINK("http://www.epingalert.org/#/details/G/SPS/N/AUS/378")</f>
        <v>http://www.epingalert.org/#/details/G/SPS/N/AUS/378</v>
      </c>
      <c r="O524" s="2"/>
    </row>
    <row r="525" spans="1:15" ht="240" customHeight="1" outlineLevel="1" x14ac:dyDescent="0.25">
      <c r="A525" s="2" t="s">
        <v>25</v>
      </c>
      <c r="B525" s="2" t="s">
        <v>3241</v>
      </c>
      <c r="C525" s="2" t="s">
        <v>3242</v>
      </c>
      <c r="D525" s="2" t="s">
        <v>3243</v>
      </c>
      <c r="E525" s="3">
        <v>42355</v>
      </c>
      <c r="F525" s="2" t="s">
        <v>3244</v>
      </c>
      <c r="G525" s="2" t="s">
        <v>3245</v>
      </c>
      <c r="H525" s="2" t="s">
        <v>2425</v>
      </c>
      <c r="I525" s="2" t="s">
        <v>3246</v>
      </c>
      <c r="J525" s="3">
        <v>42415</v>
      </c>
      <c r="K525" s="2" t="str">
        <f>HYPERLINK("https://docs.wto.org/imrd/directdoc.asp?DDFDocuments/t/G/SPS/NKOR523.DOC")</f>
        <v>https://docs.wto.org/imrd/directdoc.asp?DDFDocuments/t/G/SPS/NKOR523.DOC</v>
      </c>
      <c r="L525" s="2" t="str">
        <f>HYPERLINK("https://docs.wto.org/imrd/directdoc.asp?DDFDocuments/u/G/SPS/NKOR523.DOC")</f>
        <v>https://docs.wto.org/imrd/directdoc.asp?DDFDocuments/u/G/SPS/NKOR523.DOC</v>
      </c>
      <c r="M525" s="2" t="str">
        <f>HYPERLINK("https://docs.wto.org/imrd/directdoc.asp?DDFDocuments/v/G/SPS/NKOR523.DOC")</f>
        <v>https://docs.wto.org/imrd/directdoc.asp?DDFDocuments/v/G/SPS/NKOR523.DOC</v>
      </c>
      <c r="N525" s="2" t="str">
        <f>HYPERLINK("http://www.epingalert.org/#/details/G/SPS/N/KOR/523")</f>
        <v>http://www.epingalert.org/#/details/G/SPS/N/KOR/523</v>
      </c>
      <c r="O525" s="2"/>
    </row>
    <row r="526" spans="1:15" ht="240" customHeight="1" outlineLevel="1" x14ac:dyDescent="0.25">
      <c r="A526" s="2" t="s">
        <v>42</v>
      </c>
      <c r="B526" s="2" t="s">
        <v>3251</v>
      </c>
      <c r="C526" s="2" t="s">
        <v>3252</v>
      </c>
      <c r="D526" s="2" t="s">
        <v>3253</v>
      </c>
      <c r="E526" s="3">
        <v>42355</v>
      </c>
      <c r="F526" s="2" t="s">
        <v>3254</v>
      </c>
      <c r="G526" s="2"/>
      <c r="H526" s="2" t="s">
        <v>2425</v>
      </c>
      <c r="I526" s="2" t="s">
        <v>2453</v>
      </c>
      <c r="J526" s="3">
        <v>42374</v>
      </c>
      <c r="K526" s="2" t="str">
        <f>HYPERLINK("https://docs.wto.org/imrd/directdoc.asp?DDFDocuments/t/G/SPS/NBRA1083.DOC")</f>
        <v>https://docs.wto.org/imrd/directdoc.asp?DDFDocuments/t/G/SPS/NBRA1083.DOC</v>
      </c>
      <c r="L526" s="2" t="str">
        <f>HYPERLINK("https://docs.wto.org/imrd/directdoc.asp?DDFDocuments/u/G/SPS/NBRA1083.DOC")</f>
        <v>https://docs.wto.org/imrd/directdoc.asp?DDFDocuments/u/G/SPS/NBRA1083.DOC</v>
      </c>
      <c r="M526" s="2" t="str">
        <f>HYPERLINK("https://docs.wto.org/imrd/directdoc.asp?DDFDocuments/v/G/SPS/NBRA1083.DOC")</f>
        <v>https://docs.wto.org/imrd/directdoc.asp?DDFDocuments/v/G/SPS/NBRA1083.DOC</v>
      </c>
      <c r="N526" s="2" t="str">
        <f>HYPERLINK("http://www.epingalert.org/#/details/G/SPS/N/BRA/1083")</f>
        <v>http://www.epingalert.org/#/details/G/SPS/N/BRA/1083</v>
      </c>
      <c r="O526" s="2"/>
    </row>
    <row r="527" spans="1:15" ht="240" customHeight="1" outlineLevel="1" x14ac:dyDescent="0.25">
      <c r="A527" s="2" t="s">
        <v>42</v>
      </c>
      <c r="B527" s="2" t="s">
        <v>3247</v>
      </c>
      <c r="C527" s="2" t="s">
        <v>3248</v>
      </c>
      <c r="D527" s="2" t="s">
        <v>3249</v>
      </c>
      <c r="E527" s="3">
        <v>42355</v>
      </c>
      <c r="F527" s="2" t="s">
        <v>3250</v>
      </c>
      <c r="G527" s="2"/>
      <c r="H527" s="2" t="s">
        <v>2425</v>
      </c>
      <c r="I527" s="2" t="s">
        <v>2453</v>
      </c>
      <c r="J527" s="3">
        <v>42367</v>
      </c>
      <c r="K527" s="2" t="str">
        <f>HYPERLINK("https://docs.wto.org/imrd/directdoc.asp?DDFDocuments/t/G/SPS/NBRA1085.DOC")</f>
        <v>https://docs.wto.org/imrd/directdoc.asp?DDFDocuments/t/G/SPS/NBRA1085.DOC</v>
      </c>
      <c r="L527" s="2" t="str">
        <f>HYPERLINK("https://docs.wto.org/imrd/directdoc.asp?DDFDocuments/u/G/SPS/NBRA1085.DOC")</f>
        <v>https://docs.wto.org/imrd/directdoc.asp?DDFDocuments/u/G/SPS/NBRA1085.DOC</v>
      </c>
      <c r="M527" s="2" t="str">
        <f>HYPERLINK("https://docs.wto.org/imrd/directdoc.asp?DDFDocuments/v/G/SPS/NBRA1085.DOC")</f>
        <v>https://docs.wto.org/imrd/directdoc.asp?DDFDocuments/v/G/SPS/NBRA1085.DOC</v>
      </c>
      <c r="N527" s="2" t="str">
        <f>HYPERLINK("http://www.epingalert.org/#/details/G/SPS/N/BRA/1085")</f>
        <v>http://www.epingalert.org/#/details/G/SPS/N/BRA/1085</v>
      </c>
      <c r="O527" s="2"/>
    </row>
    <row r="528" spans="1:15" ht="240" customHeight="1" outlineLevel="1" x14ac:dyDescent="0.25">
      <c r="A528" s="2" t="s">
        <v>42</v>
      </c>
      <c r="B528" s="2" t="s">
        <v>3255</v>
      </c>
      <c r="C528" s="2" t="s">
        <v>3256</v>
      </c>
      <c r="D528" s="2" t="s">
        <v>3257</v>
      </c>
      <c r="E528" s="3">
        <v>42354</v>
      </c>
      <c r="F528" s="2" t="s">
        <v>3258</v>
      </c>
      <c r="G528" s="2"/>
      <c r="H528" s="2" t="s">
        <v>2425</v>
      </c>
      <c r="I528" s="2" t="s">
        <v>2453</v>
      </c>
      <c r="J528" s="3">
        <v>42374</v>
      </c>
      <c r="K528" s="2" t="str">
        <f>HYPERLINK("https://docs.wto.org/imrd/directdoc.asp?DDFDocuments/t/G/SPS/NBRA1082.DOC")</f>
        <v>https://docs.wto.org/imrd/directdoc.asp?DDFDocuments/t/G/SPS/NBRA1082.DOC</v>
      </c>
      <c r="L528" s="2" t="str">
        <f>HYPERLINK("https://docs.wto.org/imrd/directdoc.asp?DDFDocuments/u/G/SPS/NBRA1082.DOC")</f>
        <v>https://docs.wto.org/imrd/directdoc.asp?DDFDocuments/u/G/SPS/NBRA1082.DOC</v>
      </c>
      <c r="M528" s="2" t="str">
        <f>HYPERLINK("https://docs.wto.org/imrd/directdoc.asp?DDFDocuments/v/G/SPS/NBRA1082.DOC")</f>
        <v>https://docs.wto.org/imrd/directdoc.asp?DDFDocuments/v/G/SPS/NBRA1082.DOC</v>
      </c>
      <c r="N528" s="2" t="str">
        <f>HYPERLINK("http://www.epingalert.org/#/details/G/SPS/N/BRA/1082")</f>
        <v>http://www.epingalert.org/#/details/G/SPS/N/BRA/1082</v>
      </c>
      <c r="O528" s="2"/>
    </row>
    <row r="529" spans="1:15" ht="240" customHeight="1" outlineLevel="1" x14ac:dyDescent="0.25">
      <c r="A529" s="2" t="s">
        <v>42</v>
      </c>
      <c r="B529" s="2" t="s">
        <v>3259</v>
      </c>
      <c r="C529" s="2" t="s">
        <v>3260</v>
      </c>
      <c r="D529" s="2" t="s">
        <v>3261</v>
      </c>
      <c r="E529" s="3">
        <v>42354</v>
      </c>
      <c r="F529" s="2" t="s">
        <v>3262</v>
      </c>
      <c r="G529" s="2"/>
      <c r="H529" s="2" t="s">
        <v>2425</v>
      </c>
      <c r="I529" s="2" t="s">
        <v>2453</v>
      </c>
      <c r="J529" s="3">
        <v>42374</v>
      </c>
      <c r="K529" s="2" t="str">
        <f>HYPERLINK("https://docs.wto.org/imrd/directdoc.asp?DDFDocuments/t/G/SPS/NBRA1081.DOC")</f>
        <v>https://docs.wto.org/imrd/directdoc.asp?DDFDocuments/t/G/SPS/NBRA1081.DOC</v>
      </c>
      <c r="L529" s="2" t="str">
        <f>HYPERLINK("https://docs.wto.org/imrd/directdoc.asp?DDFDocuments/u/G/SPS/NBRA1081.DOC")</f>
        <v>https://docs.wto.org/imrd/directdoc.asp?DDFDocuments/u/G/SPS/NBRA1081.DOC</v>
      </c>
      <c r="M529" s="2" t="str">
        <f>HYPERLINK("https://docs.wto.org/imrd/directdoc.asp?DDFDocuments/v/G/SPS/NBRA1081.DOC")</f>
        <v>https://docs.wto.org/imrd/directdoc.asp?DDFDocuments/v/G/SPS/NBRA1081.DOC</v>
      </c>
      <c r="N529" s="2" t="str">
        <f>HYPERLINK("http://www.epingalert.org/#/details/G/SPS/N/BRA/1081")</f>
        <v>http://www.epingalert.org/#/details/G/SPS/N/BRA/1081</v>
      </c>
      <c r="O529" s="2"/>
    </row>
    <row r="530" spans="1:15" ht="240" customHeight="1" outlineLevel="1" x14ac:dyDescent="0.25">
      <c r="A530" s="2" t="s">
        <v>12</v>
      </c>
      <c r="B530" s="2" t="s">
        <v>3263</v>
      </c>
      <c r="C530" s="2"/>
      <c r="D530" s="2"/>
      <c r="E530" s="3">
        <v>42353</v>
      </c>
      <c r="F530" s="2" t="s">
        <v>3264</v>
      </c>
      <c r="G530" s="2"/>
      <c r="H530" s="2" t="s">
        <v>2425</v>
      </c>
      <c r="I530" s="2" t="s">
        <v>2444</v>
      </c>
      <c r="J530" s="2"/>
      <c r="K530" s="2" t="str">
        <f>HYPERLINK("https://docs.wto.org/imrd/directdoc.asp?DDFDocuments/t/G/SPS/NEU64A3.DOC")</f>
        <v>https://docs.wto.org/imrd/directdoc.asp?DDFDocuments/t/G/SPS/NEU64A3.DOC</v>
      </c>
      <c r="L530" s="2" t="str">
        <f>HYPERLINK("https://docs.wto.org/imrd/directdoc.asp?DDFDocuments/u/G/SPS/NEU64A3.DOC")</f>
        <v>https://docs.wto.org/imrd/directdoc.asp?DDFDocuments/u/G/SPS/NEU64A3.DOC</v>
      </c>
      <c r="M530" s="2" t="str">
        <f>HYPERLINK("https://docs.wto.org/imrd/directdoc.asp?DDFDocuments/v/G/SPS/NEU64A3.DOC")</f>
        <v>https://docs.wto.org/imrd/directdoc.asp?DDFDocuments/v/G/SPS/NEU64A3.DOC</v>
      </c>
      <c r="N530" s="2" t="str">
        <f>HYPERLINK("http://www.epingalert.org/#/details/G/SPS/N/EU/64/Add.3")</f>
        <v>http://www.epingalert.org/#/details/G/SPS/N/EU/64/Add.3</v>
      </c>
      <c r="O530" s="2"/>
    </row>
    <row r="531" spans="1:15" ht="240" customHeight="1" outlineLevel="1" x14ac:dyDescent="0.25">
      <c r="A531" s="2" t="s">
        <v>12</v>
      </c>
      <c r="B531" s="2" t="s">
        <v>3265</v>
      </c>
      <c r="C531" s="2" t="s">
        <v>3266</v>
      </c>
      <c r="D531" s="2" t="s">
        <v>3267</v>
      </c>
      <c r="E531" s="3">
        <v>42352</v>
      </c>
      <c r="F531" s="2" t="s">
        <v>2451</v>
      </c>
      <c r="G531" s="2" t="s">
        <v>3268</v>
      </c>
      <c r="H531" s="2" t="s">
        <v>2425</v>
      </c>
      <c r="I531" s="2" t="s">
        <v>2453</v>
      </c>
      <c r="J531" s="3">
        <v>42412</v>
      </c>
      <c r="K531" s="2" t="str">
        <f>HYPERLINK("https://docs.wto.org/imrd/directdoc.asp?DDFDocuments/t/G/SPS/NEU152.DOC")</f>
        <v>https://docs.wto.org/imrd/directdoc.asp?DDFDocuments/t/G/SPS/NEU152.DOC</v>
      </c>
      <c r="L531" s="2" t="str">
        <f>HYPERLINK("https://docs.wto.org/imrd/directdoc.asp?DDFDocuments/u/G/SPS/NEU152.DOC")</f>
        <v>https://docs.wto.org/imrd/directdoc.asp?DDFDocuments/u/G/SPS/NEU152.DOC</v>
      </c>
      <c r="M531" s="2" t="str">
        <f>HYPERLINK("https://docs.wto.org/imrd/directdoc.asp?DDFDocuments/v/G/SPS/NEU152.DOC")</f>
        <v>https://docs.wto.org/imrd/directdoc.asp?DDFDocuments/v/G/SPS/NEU152.DOC</v>
      </c>
      <c r="N531" s="2" t="str">
        <f>HYPERLINK("http://www.epingalert.org/#/details/G/SPS/N/EU/152")</f>
        <v>http://www.epingalert.org/#/details/G/SPS/N/EU/152</v>
      </c>
      <c r="O531" s="2"/>
    </row>
    <row r="532" spans="1:15" ht="240" customHeight="1" outlineLevel="1" x14ac:dyDescent="0.25">
      <c r="A532" s="2" t="s">
        <v>12</v>
      </c>
      <c r="B532" s="2" t="s">
        <v>3269</v>
      </c>
      <c r="C532" s="2" t="s">
        <v>3270</v>
      </c>
      <c r="D532" s="2" t="s">
        <v>3271</v>
      </c>
      <c r="E532" s="3">
        <v>42352</v>
      </c>
      <c r="F532" s="2" t="s">
        <v>2451</v>
      </c>
      <c r="G532" s="2" t="s">
        <v>3272</v>
      </c>
      <c r="H532" s="2" t="s">
        <v>2425</v>
      </c>
      <c r="I532" s="2" t="s">
        <v>2453</v>
      </c>
      <c r="J532" s="3">
        <v>42412</v>
      </c>
      <c r="K532" s="2" t="str">
        <f>HYPERLINK("https://docs.wto.org/imrd/directdoc.asp?DDFDocuments/t/G/SPS/NEU151.DOC")</f>
        <v>https://docs.wto.org/imrd/directdoc.asp?DDFDocuments/t/G/SPS/NEU151.DOC</v>
      </c>
      <c r="L532" s="2" t="str">
        <f>HYPERLINK("https://docs.wto.org/imrd/directdoc.asp?DDFDocuments/u/G/SPS/NEU151.DOC")</f>
        <v>https://docs.wto.org/imrd/directdoc.asp?DDFDocuments/u/G/SPS/NEU151.DOC</v>
      </c>
      <c r="M532" s="2" t="str">
        <f>HYPERLINK("https://docs.wto.org/imrd/directdoc.asp?DDFDocuments/v/G/SPS/NEU151.DOC")</f>
        <v>https://docs.wto.org/imrd/directdoc.asp?DDFDocuments/v/G/SPS/NEU151.DOC</v>
      </c>
      <c r="N532" s="2" t="str">
        <f>HYPERLINK("http://www.epingalert.org/#/details/G/SPS/N/EU/151")</f>
        <v>http://www.epingalert.org/#/details/G/SPS/N/EU/151</v>
      </c>
      <c r="O532" s="2"/>
    </row>
    <row r="533" spans="1:15" ht="240" customHeight="1" outlineLevel="1" x14ac:dyDescent="0.25">
      <c r="A533" s="2" t="s">
        <v>121</v>
      </c>
      <c r="B533" s="2" t="s">
        <v>6608</v>
      </c>
      <c r="C533" s="2" t="s">
        <v>6609</v>
      </c>
      <c r="D533" s="2" t="s">
        <v>6610</v>
      </c>
      <c r="E533" s="3">
        <v>42352</v>
      </c>
      <c r="F533" s="2" t="s">
        <v>6611</v>
      </c>
      <c r="G533" s="2" t="s">
        <v>1646</v>
      </c>
      <c r="H533" s="2" t="s">
        <v>2425</v>
      </c>
      <c r="I533" s="2" t="s">
        <v>6503</v>
      </c>
      <c r="J533" s="3">
        <v>42412</v>
      </c>
      <c r="K533" s="2" t="str">
        <f>HYPERLINK("https://docs.wto.org/imrd/directdoc.asp?DDFDocuments/t/G/SPS/NIND119.DOC")</f>
        <v>https://docs.wto.org/imrd/directdoc.asp?DDFDocuments/t/G/SPS/NIND119.DOC</v>
      </c>
      <c r="L533" s="2" t="str">
        <f>HYPERLINK("https://docs.wto.org/imrd/directdoc.asp?DDFDocuments/u/G/SPS/NIND119.DOC")</f>
        <v>https://docs.wto.org/imrd/directdoc.asp?DDFDocuments/u/G/SPS/NIND119.DOC</v>
      </c>
      <c r="M533" s="2" t="str">
        <f>HYPERLINK("https://docs.wto.org/imrd/directdoc.asp?DDFDocuments/v/G/SPS/NIND119.DOC")</f>
        <v>https://docs.wto.org/imrd/directdoc.asp?DDFDocuments/v/G/SPS/NIND119.DOC</v>
      </c>
      <c r="N533" s="2" t="str">
        <f>HYPERLINK("http://www.epingalert.org/#/details/G/SPS/N/IND/119")</f>
        <v>http://www.epingalert.org/#/details/G/SPS/N/IND/119</v>
      </c>
      <c r="O533" s="2"/>
    </row>
    <row r="534" spans="1:15" ht="240" customHeight="1" outlineLevel="1" x14ac:dyDescent="0.25">
      <c r="A534" s="2" t="s">
        <v>18</v>
      </c>
      <c r="B534" s="2" t="s">
        <v>7264</v>
      </c>
      <c r="C534" s="2" t="s">
        <v>7265</v>
      </c>
      <c r="D534" s="2" t="s">
        <v>7266</v>
      </c>
      <c r="E534" s="3">
        <v>42352</v>
      </c>
      <c r="F534" s="2" t="s">
        <v>6901</v>
      </c>
      <c r="G534" s="2" t="s">
        <v>7267</v>
      </c>
      <c r="H534" s="2" t="s">
        <v>2467</v>
      </c>
      <c r="I534" s="2" t="s">
        <v>7268</v>
      </c>
      <c r="J534" s="3">
        <v>42402</v>
      </c>
      <c r="K534" s="2" t="str">
        <f>HYPERLINK("https://docs.wto.org/imrd/directdoc.asp?DDFDocuments/t/G/SPS/NUSA2807.DOC")</f>
        <v>https://docs.wto.org/imrd/directdoc.asp?DDFDocuments/t/G/SPS/NUSA2807.DOC</v>
      </c>
      <c r="L534" s="2" t="str">
        <f>HYPERLINK("https://docs.wto.org/imrd/directdoc.asp?DDFDocuments/u/G/SPS/NUSA2807.DOC")</f>
        <v>https://docs.wto.org/imrd/directdoc.asp?DDFDocuments/u/G/SPS/NUSA2807.DOC</v>
      </c>
      <c r="M534" s="2" t="str">
        <f>HYPERLINK("https://docs.wto.org/imrd/directdoc.asp?DDFDocuments/v/G/SPS/NUSA2807.DOC")</f>
        <v>https://docs.wto.org/imrd/directdoc.asp?DDFDocuments/v/G/SPS/NUSA2807.DOC</v>
      </c>
      <c r="N534" s="2" t="str">
        <f>HYPERLINK("http://www.epingalert.org/#/details/G/SPS/N/USA/2807")</f>
        <v>http://www.epingalert.org/#/details/G/SPS/N/USA/2807</v>
      </c>
      <c r="O534" s="2"/>
    </row>
    <row r="535" spans="1:15" ht="240" customHeight="1" outlineLevel="1" x14ac:dyDescent="0.25">
      <c r="A535" s="2" t="s">
        <v>12</v>
      </c>
      <c r="B535" s="2" t="s">
        <v>3273</v>
      </c>
      <c r="C535" s="2" t="s">
        <v>3274</v>
      </c>
      <c r="D535" s="2" t="s">
        <v>3275</v>
      </c>
      <c r="E535" s="3">
        <v>42349</v>
      </c>
      <c r="F535" s="2" t="s">
        <v>2451</v>
      </c>
      <c r="G535" s="2" t="s">
        <v>3276</v>
      </c>
      <c r="H535" s="2" t="s">
        <v>2425</v>
      </c>
      <c r="I535" s="2" t="s">
        <v>2461</v>
      </c>
      <c r="J535" s="3">
        <v>42409</v>
      </c>
      <c r="K535" s="2" t="str">
        <f>HYPERLINK("https://docs.wto.org/imrd/directdoc.asp?DDFDocuments/t/G/SPS/NEU150.DOC")</f>
        <v>https://docs.wto.org/imrd/directdoc.asp?DDFDocuments/t/G/SPS/NEU150.DOC</v>
      </c>
      <c r="L535" s="2" t="str">
        <f>HYPERLINK("https://docs.wto.org/imrd/directdoc.asp?DDFDocuments/u/G/SPS/NEU150.DOC")</f>
        <v>https://docs.wto.org/imrd/directdoc.asp?DDFDocuments/u/G/SPS/NEU150.DOC</v>
      </c>
      <c r="M535" s="2" t="str">
        <f>HYPERLINK("https://docs.wto.org/imrd/directdoc.asp?DDFDocuments/v/G/SPS/NEU150.DOC")</f>
        <v>https://docs.wto.org/imrd/directdoc.asp?DDFDocuments/v/G/SPS/NEU150.DOC</v>
      </c>
      <c r="N535" s="2" t="str">
        <f>HYPERLINK("http://www.epingalert.org/#/details/G/SPS/N/EU/150")</f>
        <v>http://www.epingalert.org/#/details/G/SPS/N/EU/150</v>
      </c>
      <c r="O535" s="2"/>
    </row>
    <row r="536" spans="1:15" ht="240" customHeight="1" outlineLevel="1" x14ac:dyDescent="0.25">
      <c r="A536" s="2" t="s">
        <v>31</v>
      </c>
      <c r="B536" s="2" t="s">
        <v>3277</v>
      </c>
      <c r="C536" s="2" t="s">
        <v>3278</v>
      </c>
      <c r="D536" s="2" t="s">
        <v>3279</v>
      </c>
      <c r="E536" s="3">
        <v>42347</v>
      </c>
      <c r="F536" s="2" t="s">
        <v>3280</v>
      </c>
      <c r="G536" s="2" t="s">
        <v>3281</v>
      </c>
      <c r="H536" s="2" t="s">
        <v>2425</v>
      </c>
      <c r="I536" s="2"/>
      <c r="J536" s="3">
        <v>42407</v>
      </c>
      <c r="K536" s="2" t="str">
        <f>HYPERLINK("https://docs.wto.org/imrd/directdoc.asp?DDFDocuments/t/G/SPS/NTHA233.DOC")</f>
        <v>https://docs.wto.org/imrd/directdoc.asp?DDFDocuments/t/G/SPS/NTHA233.DOC</v>
      </c>
      <c r="L536" s="2" t="str">
        <f>HYPERLINK("https://docs.wto.org/imrd/directdoc.asp?DDFDocuments/u/G/SPS/NTHA233.DOC")</f>
        <v>https://docs.wto.org/imrd/directdoc.asp?DDFDocuments/u/G/SPS/NTHA233.DOC</v>
      </c>
      <c r="M536" s="2" t="str">
        <f>HYPERLINK("https://docs.wto.org/imrd/directdoc.asp?DDFDocuments/v/G/SPS/NTHA233.DOC")</f>
        <v>https://docs.wto.org/imrd/directdoc.asp?DDFDocuments/v/G/SPS/NTHA233.DOC</v>
      </c>
      <c r="N536" s="2" t="str">
        <f>HYPERLINK("http://www.epingalert.org/#/details/G/SPS/N/THA/233")</f>
        <v>http://www.epingalert.org/#/details/G/SPS/N/THA/233</v>
      </c>
      <c r="O536" s="2"/>
    </row>
    <row r="537" spans="1:15" ht="240" customHeight="1" outlineLevel="1" x14ac:dyDescent="0.25">
      <c r="A537" s="2" t="s">
        <v>115</v>
      </c>
      <c r="B537" s="2" t="s">
        <v>7269</v>
      </c>
      <c r="C537" s="2" t="s">
        <v>6940</v>
      </c>
      <c r="D537" s="2" t="s">
        <v>7270</v>
      </c>
      <c r="E537" s="3">
        <v>42347</v>
      </c>
      <c r="F537" s="2" t="s">
        <v>7046</v>
      </c>
      <c r="G537" s="2" t="s">
        <v>7271</v>
      </c>
      <c r="H537" s="2" t="s">
        <v>2425</v>
      </c>
      <c r="I537" s="2" t="s">
        <v>2453</v>
      </c>
      <c r="J537" s="3">
        <v>42407</v>
      </c>
      <c r="K537" s="2" t="str">
        <f>HYPERLINK("https://docs.wto.org/imrd/directdoc.asp?DDFDocuments/t/G/SPS/NJPN436.DOC")</f>
        <v>https://docs.wto.org/imrd/directdoc.asp?DDFDocuments/t/G/SPS/NJPN436.DOC</v>
      </c>
      <c r="L537" s="2" t="str">
        <f>HYPERLINK("https://docs.wto.org/imrd/directdoc.asp?DDFDocuments/u/G/SPS/NJPN436.DOC")</f>
        <v>https://docs.wto.org/imrd/directdoc.asp?DDFDocuments/u/G/SPS/NJPN436.DOC</v>
      </c>
      <c r="M537" s="2" t="str">
        <f>HYPERLINK("https://docs.wto.org/imrd/directdoc.asp?DDFDocuments/v/G/SPS/NJPN436.DOC")</f>
        <v>https://docs.wto.org/imrd/directdoc.asp?DDFDocuments/v/G/SPS/NJPN436.DOC</v>
      </c>
      <c r="N537" s="2" t="str">
        <f>HYPERLINK("http://www.epingalert.org/#/details/G/SPS/N/JPN/436")</f>
        <v>http://www.epingalert.org/#/details/G/SPS/N/JPN/436</v>
      </c>
      <c r="O537" s="2"/>
    </row>
    <row r="538" spans="1:15" ht="240" customHeight="1" outlineLevel="1" x14ac:dyDescent="0.25">
      <c r="A538" s="2" t="s">
        <v>115</v>
      </c>
      <c r="B538" s="2" t="s">
        <v>7272</v>
      </c>
      <c r="C538" s="2" t="s">
        <v>6940</v>
      </c>
      <c r="D538" s="2" t="s">
        <v>7273</v>
      </c>
      <c r="E538" s="3">
        <v>42347</v>
      </c>
      <c r="F538" s="2" t="s">
        <v>7054</v>
      </c>
      <c r="G538" s="2" t="s">
        <v>7274</v>
      </c>
      <c r="H538" s="2" t="s">
        <v>2425</v>
      </c>
      <c r="I538" s="2" t="s">
        <v>2453</v>
      </c>
      <c r="J538" s="3">
        <v>42407</v>
      </c>
      <c r="K538" s="2" t="str">
        <f>HYPERLINK("https://docs.wto.org/imrd/directdoc.asp?DDFDocuments/t/G/SPS/NJPN435.DOC")</f>
        <v>https://docs.wto.org/imrd/directdoc.asp?DDFDocuments/t/G/SPS/NJPN435.DOC</v>
      </c>
      <c r="L538" s="2" t="str">
        <f>HYPERLINK("https://docs.wto.org/imrd/directdoc.asp?DDFDocuments/u/G/SPS/NJPN435.DOC")</f>
        <v>https://docs.wto.org/imrd/directdoc.asp?DDFDocuments/u/G/SPS/NJPN435.DOC</v>
      </c>
      <c r="M538" s="2" t="str">
        <f>HYPERLINK("https://docs.wto.org/imrd/directdoc.asp?DDFDocuments/v/G/SPS/NJPN435.DOC")</f>
        <v>https://docs.wto.org/imrd/directdoc.asp?DDFDocuments/v/G/SPS/NJPN435.DOC</v>
      </c>
      <c r="N538" s="2" t="str">
        <f>HYPERLINK("http://www.epingalert.org/#/details/G/SPS/N/JPN/435")</f>
        <v>http://www.epingalert.org/#/details/G/SPS/N/JPN/435</v>
      </c>
      <c r="O538" s="2"/>
    </row>
    <row r="539" spans="1:15" ht="240" customHeight="1" outlineLevel="1" x14ac:dyDescent="0.25">
      <c r="A539" s="2" t="s">
        <v>115</v>
      </c>
      <c r="B539" s="2" t="s">
        <v>7275</v>
      </c>
      <c r="C539" s="2" t="s">
        <v>6754</v>
      </c>
      <c r="D539" s="2" t="s">
        <v>7276</v>
      </c>
      <c r="E539" s="3">
        <v>42347</v>
      </c>
      <c r="F539" s="2" t="s">
        <v>7277</v>
      </c>
      <c r="G539" s="2" t="s">
        <v>2923</v>
      </c>
      <c r="H539" s="2" t="s">
        <v>2425</v>
      </c>
      <c r="I539" s="2" t="s">
        <v>2453</v>
      </c>
      <c r="J539" s="3">
        <v>42407</v>
      </c>
      <c r="K539" s="2" t="str">
        <f>HYPERLINK("https://docs.wto.org/imrd/directdoc.asp?DDFDocuments/t/G/SPS/NJPN434.DOC")</f>
        <v>https://docs.wto.org/imrd/directdoc.asp?DDFDocuments/t/G/SPS/NJPN434.DOC</v>
      </c>
      <c r="L539" s="2" t="str">
        <f>HYPERLINK("https://docs.wto.org/imrd/directdoc.asp?DDFDocuments/u/G/SPS/NJPN434.DOC")</f>
        <v>https://docs.wto.org/imrd/directdoc.asp?DDFDocuments/u/G/SPS/NJPN434.DOC</v>
      </c>
      <c r="M539" s="2" t="str">
        <f>HYPERLINK("https://docs.wto.org/imrd/directdoc.asp?DDFDocuments/v/G/SPS/NJPN434.DOC")</f>
        <v>https://docs.wto.org/imrd/directdoc.asp?DDFDocuments/v/G/SPS/NJPN434.DOC</v>
      </c>
      <c r="N539" s="2" t="str">
        <f>HYPERLINK("http://www.epingalert.org/#/details/G/SPS/N/JPN/434")</f>
        <v>http://www.epingalert.org/#/details/G/SPS/N/JPN/434</v>
      </c>
      <c r="O539" s="2"/>
    </row>
    <row r="540" spans="1:15" ht="240" customHeight="1" outlineLevel="1" x14ac:dyDescent="0.25">
      <c r="A540" s="2" t="s">
        <v>98</v>
      </c>
      <c r="B540" s="2" t="s">
        <v>3282</v>
      </c>
      <c r="C540" s="2" t="s">
        <v>3283</v>
      </c>
      <c r="D540" s="2" t="s">
        <v>3284</v>
      </c>
      <c r="E540" s="3">
        <v>42346</v>
      </c>
      <c r="F540" s="2" t="s">
        <v>3285</v>
      </c>
      <c r="G540" s="2"/>
      <c r="H540" s="2" t="s">
        <v>2425</v>
      </c>
      <c r="I540" s="2" t="s">
        <v>2426</v>
      </c>
      <c r="J540" s="3">
        <v>42406</v>
      </c>
      <c r="K540" s="2" t="str">
        <f>HYPERLINK("https://docs.wto.org/imrd/directdoc.asp?DDFDocuments/t/G/SPS/NZAF41.DOC")</f>
        <v>https://docs.wto.org/imrd/directdoc.asp?DDFDocuments/t/G/SPS/NZAF41.DOC</v>
      </c>
      <c r="L540" s="2" t="str">
        <f>HYPERLINK("https://docs.wto.org/imrd/directdoc.asp?DDFDocuments/u/G/SPS/NZAF41.DOC")</f>
        <v>https://docs.wto.org/imrd/directdoc.asp?DDFDocuments/u/G/SPS/NZAF41.DOC</v>
      </c>
      <c r="M540" s="2" t="str">
        <f>HYPERLINK("https://docs.wto.org/imrd/directdoc.asp?DDFDocuments/v/G/SPS/NZAF41.DOC")</f>
        <v>https://docs.wto.org/imrd/directdoc.asp?DDFDocuments/v/G/SPS/NZAF41.DOC</v>
      </c>
      <c r="N540" s="2" t="str">
        <f>HYPERLINK("http://www.epingalert.org/#/details/G/SPS/N/ZAF/41")</f>
        <v>http://www.epingalert.org/#/details/G/SPS/N/ZAF/41</v>
      </c>
      <c r="O540" s="2"/>
    </row>
    <row r="541" spans="1:15" ht="240" customHeight="1" outlineLevel="1" x14ac:dyDescent="0.25">
      <c r="A541" s="2" t="s">
        <v>1216</v>
      </c>
      <c r="B541" s="2" t="s">
        <v>3286</v>
      </c>
      <c r="C541" s="2" t="s">
        <v>3287</v>
      </c>
      <c r="D541" s="2" t="s">
        <v>3288</v>
      </c>
      <c r="E541" s="3">
        <v>42346</v>
      </c>
      <c r="F541" s="2" t="s">
        <v>299</v>
      </c>
      <c r="G541" s="2"/>
      <c r="H541" s="2" t="s">
        <v>2425</v>
      </c>
      <c r="I541" s="2" t="s">
        <v>2461</v>
      </c>
      <c r="J541" s="3">
        <v>42406</v>
      </c>
      <c r="K541" s="2" t="str">
        <f>HYPERLINK("https://docs.wto.org/imrd/directdoc.asp?DDFDocuments/t/G/SPS/NUKR107.DOC")</f>
        <v>https://docs.wto.org/imrd/directdoc.asp?DDFDocuments/t/G/SPS/NUKR107.DOC</v>
      </c>
      <c r="L541" s="2" t="str">
        <f>HYPERLINK("https://docs.wto.org/imrd/directdoc.asp?DDFDocuments/u/G/SPS/NUKR107.DOC")</f>
        <v>https://docs.wto.org/imrd/directdoc.asp?DDFDocuments/u/G/SPS/NUKR107.DOC</v>
      </c>
      <c r="M541" s="2" t="str">
        <f>HYPERLINK("https://docs.wto.org/imrd/directdoc.asp?DDFDocuments/v/G/SPS/NUKR107.DOC")</f>
        <v>https://docs.wto.org/imrd/directdoc.asp?DDFDocuments/v/G/SPS/NUKR107.DOC</v>
      </c>
      <c r="N541" s="2" t="str">
        <f>HYPERLINK("http://www.epingalert.org/#/details/G/SPS/N/UKR/107")</f>
        <v>http://www.epingalert.org/#/details/G/SPS/N/UKR/107</v>
      </c>
      <c r="O541" s="2"/>
    </row>
    <row r="542" spans="1:15" ht="240" customHeight="1" outlineLevel="1" x14ac:dyDescent="0.25">
      <c r="A542" s="2" t="s">
        <v>158</v>
      </c>
      <c r="B542" s="2" t="s">
        <v>7278</v>
      </c>
      <c r="C542" s="2"/>
      <c r="D542" s="2"/>
      <c r="E542" s="3">
        <v>42346</v>
      </c>
      <c r="F542" s="2"/>
      <c r="G542" s="2" t="s">
        <v>2248</v>
      </c>
      <c r="H542" s="2" t="s">
        <v>2425</v>
      </c>
      <c r="I542" s="2" t="s">
        <v>2461</v>
      </c>
      <c r="J542" s="2"/>
      <c r="K542" s="2" t="str">
        <f>HYPERLINK("https://docs.wto.org/imrd/directdoc.asp?DDFDocuments/t/G/SPS/NCRI167.DOC")</f>
        <v>https://docs.wto.org/imrd/directdoc.asp?DDFDocuments/t/G/SPS/NCRI167.DOC</v>
      </c>
      <c r="L542" s="2" t="str">
        <f>HYPERLINK("https://docs.wto.org/imrd/directdoc.asp?DDFDocuments/u/G/SPS/NCRI167.DOC")</f>
        <v>https://docs.wto.org/imrd/directdoc.asp?DDFDocuments/u/G/SPS/NCRI167.DOC</v>
      </c>
      <c r="M542" s="2" t="str">
        <f>HYPERLINK("https://docs.wto.org/imrd/directdoc.asp?DDFDocuments/v/G/SPS/NCRI167.DOC")</f>
        <v>https://docs.wto.org/imrd/directdoc.asp?DDFDocuments/v/G/SPS/NCRI167.DOC</v>
      </c>
      <c r="N542" s="2" t="str">
        <f>HYPERLINK("http://www.epingalert.org/#/details/G/SPS/N/CRI/167")</f>
        <v>http://www.epingalert.org/#/details/G/SPS/N/CRI/167</v>
      </c>
      <c r="O542" s="2"/>
    </row>
    <row r="543" spans="1:15" ht="240" customHeight="1" outlineLevel="1" x14ac:dyDescent="0.25">
      <c r="A543" s="2" t="s">
        <v>158</v>
      </c>
      <c r="B543" s="2" t="s">
        <v>7279</v>
      </c>
      <c r="C543" s="2"/>
      <c r="D543" s="2"/>
      <c r="E543" s="3">
        <v>42346</v>
      </c>
      <c r="F543" s="2"/>
      <c r="G543" s="2" t="s">
        <v>2248</v>
      </c>
      <c r="H543" s="2" t="s">
        <v>2425</v>
      </c>
      <c r="I543" s="2" t="s">
        <v>2461</v>
      </c>
      <c r="J543" s="2"/>
      <c r="K543" s="2" t="str">
        <f>HYPERLINK("https://docs.wto.org/imrd/directdoc.asp?DDFDocuments/t/G/SPS/NCRI166.DOC")</f>
        <v>https://docs.wto.org/imrd/directdoc.asp?DDFDocuments/t/G/SPS/NCRI166.DOC</v>
      </c>
      <c r="L543" s="2" t="str">
        <f>HYPERLINK("https://docs.wto.org/imrd/directdoc.asp?DDFDocuments/u/G/SPS/NCRI166.DOC")</f>
        <v>https://docs.wto.org/imrd/directdoc.asp?DDFDocuments/u/G/SPS/NCRI166.DOC</v>
      </c>
      <c r="M543" s="2" t="str">
        <f>HYPERLINK("https://docs.wto.org/imrd/directdoc.asp?DDFDocuments/v/G/SPS/NCRI166.DOC")</f>
        <v>https://docs.wto.org/imrd/directdoc.asp?DDFDocuments/v/G/SPS/NCRI166.DOC</v>
      </c>
      <c r="N543" s="2" t="str">
        <f>HYPERLINK("http://www.epingalert.org/#/details/G/SPS/N/CRI/166")</f>
        <v>http://www.epingalert.org/#/details/G/SPS/N/CRI/166</v>
      </c>
      <c r="O543" s="2"/>
    </row>
    <row r="544" spans="1:15" ht="240" customHeight="1" outlineLevel="1" x14ac:dyDescent="0.25">
      <c r="A544" s="2" t="s">
        <v>77</v>
      </c>
      <c r="B544" s="2" t="s">
        <v>3289</v>
      </c>
      <c r="C544" s="2" t="s">
        <v>2914</v>
      </c>
      <c r="D544" s="2" t="s">
        <v>3290</v>
      </c>
      <c r="E544" s="3">
        <v>42345</v>
      </c>
      <c r="F544" s="2" t="s">
        <v>3291</v>
      </c>
      <c r="G544" s="2"/>
      <c r="H544" s="2" t="s">
        <v>2425</v>
      </c>
      <c r="I544" s="2" t="s">
        <v>2426</v>
      </c>
      <c r="J544" s="3">
        <v>42405</v>
      </c>
      <c r="K544" s="2" t="str">
        <f>HYPERLINK("https://docs.wto.org/imrd/directdoc.asp?DDFDocuments/t/G/SPS/NTPKM377.DOC")</f>
        <v>https://docs.wto.org/imrd/directdoc.asp?DDFDocuments/t/G/SPS/NTPKM377.DOC</v>
      </c>
      <c r="L544" s="2" t="str">
        <f>HYPERLINK("https://docs.wto.org/imrd/directdoc.asp?DDFDocuments/u/G/SPS/NTPKM377.DOC")</f>
        <v>https://docs.wto.org/imrd/directdoc.asp?DDFDocuments/u/G/SPS/NTPKM377.DOC</v>
      </c>
      <c r="M544" s="2" t="str">
        <f>HYPERLINK("https://docs.wto.org/imrd/directdoc.asp?DDFDocuments/v/G/SPS/NTPKM377.DOC")</f>
        <v>https://docs.wto.org/imrd/directdoc.asp?DDFDocuments/v/G/SPS/NTPKM377.DOC</v>
      </c>
      <c r="N544" s="2" t="str">
        <f>HYPERLINK("http://www.epingalert.org/#/details/G/SPS/N/TPKM/377")</f>
        <v>http://www.epingalert.org/#/details/G/SPS/N/TPKM/377</v>
      </c>
      <c r="O544" s="2"/>
    </row>
    <row r="545" spans="1:15" ht="240" customHeight="1" outlineLevel="1" x14ac:dyDescent="0.25">
      <c r="A545" s="2" t="s">
        <v>282</v>
      </c>
      <c r="B545" s="2" t="s">
        <v>3292</v>
      </c>
      <c r="C545" s="2" t="s">
        <v>3293</v>
      </c>
      <c r="D545" s="2" t="s">
        <v>3294</v>
      </c>
      <c r="E545" s="3">
        <v>42342</v>
      </c>
      <c r="F545" s="2" t="s">
        <v>3295</v>
      </c>
      <c r="G545" s="2" t="s">
        <v>3296</v>
      </c>
      <c r="H545" s="2" t="s">
        <v>2425</v>
      </c>
      <c r="I545" s="2" t="s">
        <v>2461</v>
      </c>
      <c r="J545" s="3">
        <v>42402</v>
      </c>
      <c r="K545" s="2" t="str">
        <f>HYPERLINK("https://docs.wto.org/imrd/directdoc.asp?DDFDocuments/t/G/SPS/NRUS114.DOC")</f>
        <v>https://docs.wto.org/imrd/directdoc.asp?DDFDocuments/t/G/SPS/NRUS114.DOC</v>
      </c>
      <c r="L545" s="2" t="str">
        <f>HYPERLINK("https://docs.wto.org/imrd/directdoc.asp?DDFDocuments/u/G/SPS/NRUS114.DOC")</f>
        <v>https://docs.wto.org/imrd/directdoc.asp?DDFDocuments/u/G/SPS/NRUS114.DOC</v>
      </c>
      <c r="M545" s="2" t="str">
        <f>HYPERLINK("https://docs.wto.org/imrd/directdoc.asp?DDFDocuments/v/G/SPS/NRUS114.DOC")</f>
        <v>https://docs.wto.org/imrd/directdoc.asp?DDFDocuments/v/G/SPS/NRUS114.DOC</v>
      </c>
      <c r="N545" s="2" t="str">
        <f>HYPERLINK("http://www.epingalert.org/#/details/G/SPS/N/RUS/114")</f>
        <v>http://www.epingalert.org/#/details/G/SPS/N/RUS/114</v>
      </c>
      <c r="O545" s="2"/>
    </row>
    <row r="546" spans="1:15" ht="240" customHeight="1" outlineLevel="1" x14ac:dyDescent="0.25">
      <c r="A546" s="2" t="s">
        <v>185</v>
      </c>
      <c r="B546" s="2" t="s">
        <v>7280</v>
      </c>
      <c r="C546" s="2" t="s">
        <v>7281</v>
      </c>
      <c r="D546" s="2" t="s">
        <v>7282</v>
      </c>
      <c r="E546" s="3">
        <v>42342</v>
      </c>
      <c r="F546" s="2" t="s">
        <v>7283</v>
      </c>
      <c r="G546" s="2" t="s">
        <v>7284</v>
      </c>
      <c r="H546" s="2" t="s">
        <v>2425</v>
      </c>
      <c r="I546" s="2" t="s">
        <v>2461</v>
      </c>
      <c r="J546" s="3">
        <v>42402</v>
      </c>
      <c r="K546" s="2" t="str">
        <f>HYPERLINK("https://docs.wto.org/imrd/directdoc.asp?DDFDocuments/t/G/SPS/NEGY65R1.DOC")</f>
        <v>https://docs.wto.org/imrd/directdoc.asp?DDFDocuments/t/G/SPS/NEGY65R1.DOC</v>
      </c>
      <c r="L546" s="2" t="str">
        <f>HYPERLINK("https://docs.wto.org/imrd/directdoc.asp?DDFDocuments/u/G/SPS/NEGY65R1.DOC")</f>
        <v>https://docs.wto.org/imrd/directdoc.asp?DDFDocuments/u/G/SPS/NEGY65R1.DOC</v>
      </c>
      <c r="M546" s="2" t="str">
        <f>HYPERLINK("https://docs.wto.org/imrd/directdoc.asp?DDFDocuments/v/G/SPS/NEGY65R1.DOC")</f>
        <v>https://docs.wto.org/imrd/directdoc.asp?DDFDocuments/v/G/SPS/NEGY65R1.DOC</v>
      </c>
      <c r="N546" s="2" t="str">
        <f>HYPERLINK("http://www.epingalert.org/#/details/G/SPS/N/EGY/65/Rev.1")</f>
        <v>http://www.epingalert.org/#/details/G/SPS/N/EGY/65/Rev.1</v>
      </c>
      <c r="O546" s="2"/>
    </row>
    <row r="547" spans="1:15" ht="240" customHeight="1" outlineLevel="1" x14ac:dyDescent="0.25">
      <c r="A547" s="2" t="s">
        <v>2930</v>
      </c>
      <c r="B547" s="2" t="s">
        <v>3297</v>
      </c>
      <c r="C547" s="2" t="s">
        <v>3298</v>
      </c>
      <c r="D547" s="2" t="s">
        <v>3299</v>
      </c>
      <c r="E547" s="3">
        <v>42342</v>
      </c>
      <c r="F547" s="2" t="s">
        <v>46</v>
      </c>
      <c r="G547" s="2"/>
      <c r="H547" s="2" t="s">
        <v>2425</v>
      </c>
      <c r="I547" s="2" t="s">
        <v>2558</v>
      </c>
      <c r="J547" s="3">
        <v>42385</v>
      </c>
      <c r="K547" s="2" t="str">
        <f>HYPERLINK("https://docs.wto.org/imrd/directdoc.asp?DDFDocuments/t/G/SPS/NLKA38.DOC")</f>
        <v>https://docs.wto.org/imrd/directdoc.asp?DDFDocuments/t/G/SPS/NLKA38.DOC</v>
      </c>
      <c r="L547" s="2" t="str">
        <f>HYPERLINK("https://docs.wto.org/imrd/directdoc.asp?DDFDocuments/u/G/SPS/NLKA38.DOC")</f>
        <v>https://docs.wto.org/imrd/directdoc.asp?DDFDocuments/u/G/SPS/NLKA38.DOC</v>
      </c>
      <c r="M547" s="2" t="str">
        <f>HYPERLINK("https://docs.wto.org/imrd/directdoc.asp?DDFDocuments/v/G/SPS/NLKA38.DOC")</f>
        <v>https://docs.wto.org/imrd/directdoc.asp?DDFDocuments/v/G/SPS/NLKA38.DOC</v>
      </c>
      <c r="N547" s="2" t="str">
        <f>HYPERLINK("http://www.epingalert.org/#/details/G/SPS/N/LKA/38")</f>
        <v>http://www.epingalert.org/#/details/G/SPS/N/LKA/38</v>
      </c>
      <c r="O547" s="2"/>
    </row>
    <row r="548" spans="1:15" ht="240" customHeight="1" outlineLevel="1" x14ac:dyDescent="0.25">
      <c r="A548" s="2" t="s">
        <v>25</v>
      </c>
      <c r="B548" s="2" t="s">
        <v>3300</v>
      </c>
      <c r="C548" s="2" t="s">
        <v>2604</v>
      </c>
      <c r="D548" s="2" t="s">
        <v>3301</v>
      </c>
      <c r="E548" s="3">
        <v>42340</v>
      </c>
      <c r="F548" s="2" t="s">
        <v>2606</v>
      </c>
      <c r="G548" s="2"/>
      <c r="H548" s="2" t="s">
        <v>2425</v>
      </c>
      <c r="I548" s="2" t="s">
        <v>2426</v>
      </c>
      <c r="J548" s="3">
        <v>42400</v>
      </c>
      <c r="K548" s="2" t="str">
        <f>HYPERLINK("https://docs.wto.org/imrd/directdoc.asp?DDFDocuments/t/G/SPS/NKOR522.DOC")</f>
        <v>https://docs.wto.org/imrd/directdoc.asp?DDFDocuments/t/G/SPS/NKOR522.DOC</v>
      </c>
      <c r="L548" s="2" t="str">
        <f>HYPERLINK("https://docs.wto.org/imrd/directdoc.asp?DDFDocuments/u/G/SPS/NKOR522.DOC")</f>
        <v>https://docs.wto.org/imrd/directdoc.asp?DDFDocuments/u/G/SPS/NKOR522.DOC</v>
      </c>
      <c r="M548" s="2" t="str">
        <f>HYPERLINK("https://docs.wto.org/imrd/directdoc.asp?DDFDocuments/v/G/SPS/NKOR522.DOC")</f>
        <v>https://docs.wto.org/imrd/directdoc.asp?DDFDocuments/v/G/SPS/NKOR522.DOC</v>
      </c>
      <c r="N548" s="2" t="str">
        <f>HYPERLINK("http://www.epingalert.org/#/details/G/SPS/N/KOR/522")</f>
        <v>http://www.epingalert.org/#/details/G/SPS/N/KOR/522</v>
      </c>
      <c r="O548" s="2"/>
    </row>
    <row r="549" spans="1:15" ht="240" customHeight="1" outlineLevel="1" x14ac:dyDescent="0.25">
      <c r="A549" s="2" t="s">
        <v>31</v>
      </c>
      <c r="B549" s="2" t="s">
        <v>7285</v>
      </c>
      <c r="C549" s="2" t="s">
        <v>7010</v>
      </c>
      <c r="D549" s="2" t="s">
        <v>7286</v>
      </c>
      <c r="E549" s="3">
        <v>42340</v>
      </c>
      <c r="F549" s="2" t="s">
        <v>7072</v>
      </c>
      <c r="G549" s="2" t="s">
        <v>7287</v>
      </c>
      <c r="H549" s="2" t="s">
        <v>2425</v>
      </c>
      <c r="I549" s="2" t="s">
        <v>7013</v>
      </c>
      <c r="J549" s="3">
        <v>42400</v>
      </c>
      <c r="K549" s="2" t="str">
        <f>HYPERLINK("https://docs.wto.org/imrd/directdoc.asp?DDFDocuments/t/G/SPS/NTHA232.DOC")</f>
        <v>https://docs.wto.org/imrd/directdoc.asp?DDFDocuments/t/G/SPS/NTHA232.DOC</v>
      </c>
      <c r="L549" s="2" t="str">
        <f>HYPERLINK("https://docs.wto.org/imrd/directdoc.asp?DDFDocuments/u/G/SPS/NTHA232.DOC")</f>
        <v>https://docs.wto.org/imrd/directdoc.asp?DDFDocuments/u/G/SPS/NTHA232.DOC</v>
      </c>
      <c r="M549" s="2" t="str">
        <f>HYPERLINK("https://docs.wto.org/imrd/directdoc.asp?DDFDocuments/v/G/SPS/NTHA232.DOC")</f>
        <v>https://docs.wto.org/imrd/directdoc.asp?DDFDocuments/v/G/SPS/NTHA232.DOC</v>
      </c>
      <c r="N549" s="2" t="str">
        <f>HYPERLINK("http://www.epingalert.org/#/details/G/SPS/N/THA/232")</f>
        <v>http://www.epingalert.org/#/details/G/SPS/N/THA/232</v>
      </c>
      <c r="O549" s="2"/>
    </row>
    <row r="550" spans="1:15" ht="240" customHeight="1" outlineLevel="1" x14ac:dyDescent="0.25">
      <c r="A550" s="2" t="s">
        <v>31</v>
      </c>
      <c r="B550" s="2" t="s">
        <v>3302</v>
      </c>
      <c r="C550" s="2" t="s">
        <v>3303</v>
      </c>
      <c r="D550" s="2" t="s">
        <v>3304</v>
      </c>
      <c r="E550" s="3">
        <v>42339</v>
      </c>
      <c r="F550" s="2" t="s">
        <v>3223</v>
      </c>
      <c r="G550" s="2"/>
      <c r="H550" s="2" t="s">
        <v>2425</v>
      </c>
      <c r="I550" s="2" t="s">
        <v>2425</v>
      </c>
      <c r="J550" s="3">
        <v>42399</v>
      </c>
      <c r="K550" s="2" t="str">
        <f>HYPERLINK("https://docs.wto.org/imrd/directdoc.asp?DDFDocuments/t/G/SPS/NTHA230.DOC")</f>
        <v>https://docs.wto.org/imrd/directdoc.asp?DDFDocuments/t/G/SPS/NTHA230.DOC</v>
      </c>
      <c r="L550" s="2" t="str">
        <f>HYPERLINK("https://docs.wto.org/imrd/directdoc.asp?DDFDocuments/u/G/SPS/NTHA230.DOC")</f>
        <v>https://docs.wto.org/imrd/directdoc.asp?DDFDocuments/u/G/SPS/NTHA230.DOC</v>
      </c>
      <c r="M550" s="2" t="str">
        <f>HYPERLINK("https://docs.wto.org/imrd/directdoc.asp?DDFDocuments/v/G/SPS/NTHA230.DOC")</f>
        <v>https://docs.wto.org/imrd/directdoc.asp?DDFDocuments/v/G/SPS/NTHA230.DOC</v>
      </c>
      <c r="N550" s="2" t="str">
        <f>HYPERLINK("http://www.epingalert.org/#/details/G/SPS/N/THA/230")</f>
        <v>http://www.epingalert.org/#/details/G/SPS/N/THA/230</v>
      </c>
      <c r="O550" s="2"/>
    </row>
    <row r="551" spans="1:15" ht="240" customHeight="1" outlineLevel="1" x14ac:dyDescent="0.25">
      <c r="A551" s="2" t="s">
        <v>173</v>
      </c>
      <c r="B551" s="2" t="s">
        <v>6612</v>
      </c>
      <c r="C551" s="2" t="s">
        <v>6613</v>
      </c>
      <c r="D551" s="2" t="s">
        <v>6614</v>
      </c>
      <c r="E551" s="3">
        <v>42339</v>
      </c>
      <c r="F551" s="2" t="s">
        <v>6615</v>
      </c>
      <c r="G551" s="2" t="s">
        <v>1775</v>
      </c>
      <c r="H551" s="2" t="s">
        <v>2425</v>
      </c>
      <c r="I551" s="2" t="s">
        <v>2461</v>
      </c>
      <c r="J551" s="3">
        <v>42399</v>
      </c>
      <c r="K551" s="2" t="str">
        <f>HYPERLINK("https://docs.wto.org/imrd/directdoc.asp?DDFDocuments/t/G/SPS/NSAU187.DOC")</f>
        <v>https://docs.wto.org/imrd/directdoc.asp?DDFDocuments/t/G/SPS/NSAU187.DOC</v>
      </c>
      <c r="L551" s="2" t="str">
        <f>HYPERLINK("https://docs.wto.org/imrd/directdoc.asp?DDFDocuments/u/G/SPS/NSAU187.DOC")</f>
        <v>https://docs.wto.org/imrd/directdoc.asp?DDFDocuments/u/G/SPS/NSAU187.DOC</v>
      </c>
      <c r="M551" s="2" t="str">
        <f>HYPERLINK("https://docs.wto.org/imrd/directdoc.asp?DDFDocuments/v/G/SPS/NSAU187.DOC")</f>
        <v>https://docs.wto.org/imrd/directdoc.asp?DDFDocuments/v/G/SPS/NSAU187.DOC</v>
      </c>
      <c r="N551" s="2" t="str">
        <f>HYPERLINK("http://www.epingalert.org/#/details/G/SPS/N/SAU/187")</f>
        <v>http://www.epingalert.org/#/details/G/SPS/N/SAU/187</v>
      </c>
      <c r="O551" s="2"/>
    </row>
    <row r="552" spans="1:15" ht="240" customHeight="1" outlineLevel="1" x14ac:dyDescent="0.25">
      <c r="A552" s="2" t="s">
        <v>173</v>
      </c>
      <c r="B552" s="2" t="s">
        <v>7288</v>
      </c>
      <c r="C552" s="2" t="s">
        <v>7289</v>
      </c>
      <c r="D552" s="2" t="s">
        <v>7290</v>
      </c>
      <c r="E552" s="3">
        <v>42339</v>
      </c>
      <c r="F552" s="2" t="s">
        <v>7291</v>
      </c>
      <c r="G552" s="2" t="s">
        <v>2190</v>
      </c>
      <c r="H552" s="2" t="s">
        <v>2425</v>
      </c>
      <c r="I552" s="2" t="s">
        <v>2461</v>
      </c>
      <c r="J552" s="3">
        <v>42399</v>
      </c>
      <c r="K552" s="2" t="str">
        <f>HYPERLINK("https://docs.wto.org/imrd/directdoc.asp?DDFDocuments/t/G/SPS/NSAU185.DOC")</f>
        <v>https://docs.wto.org/imrd/directdoc.asp?DDFDocuments/t/G/SPS/NSAU185.DOC</v>
      </c>
      <c r="L552" s="2" t="str">
        <f>HYPERLINK("https://docs.wto.org/imrd/directdoc.asp?DDFDocuments/u/G/SPS/NSAU185.DOC")</f>
        <v>https://docs.wto.org/imrd/directdoc.asp?DDFDocuments/u/G/SPS/NSAU185.DOC</v>
      </c>
      <c r="M552" s="2" t="str">
        <f>HYPERLINK("https://docs.wto.org/imrd/directdoc.asp?DDFDocuments/v/G/SPS/NSAU185.DOC")</f>
        <v>https://docs.wto.org/imrd/directdoc.asp?DDFDocuments/v/G/SPS/NSAU185.DOC</v>
      </c>
      <c r="N552" s="2" t="str">
        <f>HYPERLINK("http://www.epingalert.org/#/details/G/SPS/N/SAU/185")</f>
        <v>http://www.epingalert.org/#/details/G/SPS/N/SAU/185</v>
      </c>
      <c r="O552" s="2"/>
    </row>
    <row r="553" spans="1:15" ht="240" customHeight="1" outlineLevel="1" x14ac:dyDescent="0.25">
      <c r="A553" s="2" t="s">
        <v>646</v>
      </c>
      <c r="B553" s="2" t="s">
        <v>7292</v>
      </c>
      <c r="C553" s="2" t="s">
        <v>7293</v>
      </c>
      <c r="D553" s="2" t="s">
        <v>7294</v>
      </c>
      <c r="E553" s="3">
        <v>42335</v>
      </c>
      <c r="F553" s="2" t="s">
        <v>7295</v>
      </c>
      <c r="G553" s="2" t="s">
        <v>2039</v>
      </c>
      <c r="H553" s="2" t="s">
        <v>2654</v>
      </c>
      <c r="I553" s="2" t="s">
        <v>7296</v>
      </c>
      <c r="J553" s="3">
        <v>42395</v>
      </c>
      <c r="K553" s="2" t="str">
        <f>HYPERLINK("https://docs.wto.org/imrd/directdoc.asp?DDFDocuments/t/G/SPS/NVNM73.DOC")</f>
        <v>https://docs.wto.org/imrd/directdoc.asp?DDFDocuments/t/G/SPS/NVNM73.DOC</v>
      </c>
      <c r="L553" s="2" t="str">
        <f>HYPERLINK("https://docs.wto.org/imrd/directdoc.asp?DDFDocuments/u/G/SPS/NVNM73.DOC")</f>
        <v>https://docs.wto.org/imrd/directdoc.asp?DDFDocuments/u/G/SPS/NVNM73.DOC</v>
      </c>
      <c r="M553" s="2" t="str">
        <f>HYPERLINK("https://docs.wto.org/imrd/directdoc.asp?DDFDocuments/v/G/SPS/NVNM73.DOC")</f>
        <v>https://docs.wto.org/imrd/directdoc.asp?DDFDocuments/v/G/SPS/NVNM73.DOC</v>
      </c>
      <c r="N553" s="2" t="str">
        <f>HYPERLINK("http://www.epingalert.org/#/details/G/SPS/N/VNM/73")</f>
        <v>http://www.epingalert.org/#/details/G/SPS/N/VNM/73</v>
      </c>
      <c r="O553" s="2"/>
    </row>
    <row r="554" spans="1:15" ht="240" customHeight="1" outlineLevel="1" x14ac:dyDescent="0.25">
      <c r="A554" s="2" t="s">
        <v>380</v>
      </c>
      <c r="B554" s="2" t="s">
        <v>3305</v>
      </c>
      <c r="C554" s="2" t="s">
        <v>3306</v>
      </c>
      <c r="D554" s="2" t="s">
        <v>3307</v>
      </c>
      <c r="E554" s="3">
        <v>42333</v>
      </c>
      <c r="F554" s="2" t="s">
        <v>3308</v>
      </c>
      <c r="G554" s="2"/>
      <c r="H554" s="2" t="s">
        <v>2425</v>
      </c>
      <c r="I554" s="2" t="s">
        <v>2426</v>
      </c>
      <c r="J554" s="3">
        <v>42393</v>
      </c>
      <c r="K554" s="2" t="str">
        <f>HYPERLINK("https://docs.wto.org/imrd/directdoc.asp?DDFDocuments/t/G/SPS/NCHN1040.DOC")</f>
        <v>https://docs.wto.org/imrd/directdoc.asp?DDFDocuments/t/G/SPS/NCHN1040.DOC</v>
      </c>
      <c r="L554" s="2" t="str">
        <f>HYPERLINK("https://docs.wto.org/imrd/directdoc.asp?DDFDocuments/u/G/SPS/NCHN1040.DOC")</f>
        <v>https://docs.wto.org/imrd/directdoc.asp?DDFDocuments/u/G/SPS/NCHN1040.DOC</v>
      </c>
      <c r="M554" s="2" t="str">
        <f>HYPERLINK("https://docs.wto.org/imrd/directdoc.asp?DDFDocuments/v/G/SPS/NCHN1040.DOC")</f>
        <v>https://docs.wto.org/imrd/directdoc.asp?DDFDocuments/v/G/SPS/NCHN1040.DOC</v>
      </c>
      <c r="N554" s="2" t="str">
        <f>HYPERLINK("http://www.epingalert.org/#/details/G/SPS/N/CHN/1040")</f>
        <v>http://www.epingalert.org/#/details/G/SPS/N/CHN/1040</v>
      </c>
      <c r="O554" s="2"/>
    </row>
    <row r="555" spans="1:15" ht="240" customHeight="1" outlineLevel="1" x14ac:dyDescent="0.25">
      <c r="A555" s="2" t="s">
        <v>380</v>
      </c>
      <c r="B555" s="2" t="s">
        <v>3309</v>
      </c>
      <c r="C555" s="2" t="s">
        <v>3310</v>
      </c>
      <c r="D555" s="2" t="s">
        <v>3311</v>
      </c>
      <c r="E555" s="3">
        <v>42333</v>
      </c>
      <c r="F555" s="2" t="s">
        <v>3312</v>
      </c>
      <c r="G555" s="2"/>
      <c r="H555" s="2" t="s">
        <v>2425</v>
      </c>
      <c r="I555" s="2" t="s">
        <v>2426</v>
      </c>
      <c r="J555" s="3">
        <v>42393</v>
      </c>
      <c r="K555" s="2" t="str">
        <f>HYPERLINK("https://docs.wto.org/imrd/directdoc.asp?DDFDocuments/t/G/SPS/NCHN1039.DOC")</f>
        <v>https://docs.wto.org/imrd/directdoc.asp?DDFDocuments/t/G/SPS/NCHN1039.DOC</v>
      </c>
      <c r="L555" s="2" t="str">
        <f>HYPERLINK("https://docs.wto.org/imrd/directdoc.asp?DDFDocuments/u/G/SPS/NCHN1039.DOC")</f>
        <v>https://docs.wto.org/imrd/directdoc.asp?DDFDocuments/u/G/SPS/NCHN1039.DOC</v>
      </c>
      <c r="M555" s="2" t="str">
        <f>HYPERLINK("https://docs.wto.org/imrd/directdoc.asp?DDFDocuments/v/G/SPS/NCHN1039.DOC")</f>
        <v>https://docs.wto.org/imrd/directdoc.asp?DDFDocuments/v/G/SPS/NCHN1039.DOC</v>
      </c>
      <c r="N555" s="2" t="str">
        <f>HYPERLINK("http://www.epingalert.org/#/details/G/SPS/N/CHN/1039")</f>
        <v>http://www.epingalert.org/#/details/G/SPS/N/CHN/1039</v>
      </c>
      <c r="O555" s="2"/>
    </row>
    <row r="556" spans="1:15" ht="240" customHeight="1" outlineLevel="1" x14ac:dyDescent="0.25">
      <c r="A556" s="2" t="s">
        <v>380</v>
      </c>
      <c r="B556" s="2" t="s">
        <v>3313</v>
      </c>
      <c r="C556" s="2" t="s">
        <v>3314</v>
      </c>
      <c r="D556" s="2" t="s">
        <v>3315</v>
      </c>
      <c r="E556" s="3">
        <v>42333</v>
      </c>
      <c r="F556" s="2" t="s">
        <v>3316</v>
      </c>
      <c r="G556" s="2"/>
      <c r="H556" s="2" t="s">
        <v>2425</v>
      </c>
      <c r="I556" s="2" t="s">
        <v>2426</v>
      </c>
      <c r="J556" s="3">
        <v>42393</v>
      </c>
      <c r="K556" s="2" t="str">
        <f>HYPERLINK("https://docs.wto.org/imrd/directdoc.asp?DDFDocuments/t/G/SPS/NCHN1038.DOC")</f>
        <v>https://docs.wto.org/imrd/directdoc.asp?DDFDocuments/t/G/SPS/NCHN1038.DOC</v>
      </c>
      <c r="L556" s="2" t="str">
        <f>HYPERLINK("https://docs.wto.org/imrd/directdoc.asp?DDFDocuments/u/G/SPS/NCHN1038.DOC")</f>
        <v>https://docs.wto.org/imrd/directdoc.asp?DDFDocuments/u/G/SPS/NCHN1038.DOC</v>
      </c>
      <c r="M556" s="2" t="str">
        <f>HYPERLINK("https://docs.wto.org/imrd/directdoc.asp?DDFDocuments/v/G/SPS/NCHN1038.DOC")</f>
        <v>https://docs.wto.org/imrd/directdoc.asp?DDFDocuments/v/G/SPS/NCHN1038.DOC</v>
      </c>
      <c r="N556" s="2" t="str">
        <f>HYPERLINK("http://www.epingalert.org/#/details/G/SPS/N/CHN/1038")</f>
        <v>http://www.epingalert.org/#/details/G/SPS/N/CHN/1038</v>
      </c>
      <c r="O556" s="2"/>
    </row>
    <row r="557" spans="1:15" ht="240" customHeight="1" outlineLevel="1" x14ac:dyDescent="0.25">
      <c r="A557" s="2" t="s">
        <v>380</v>
      </c>
      <c r="B557" s="2" t="s">
        <v>3317</v>
      </c>
      <c r="C557" s="2" t="s">
        <v>3318</v>
      </c>
      <c r="D557" s="2" t="s">
        <v>3319</v>
      </c>
      <c r="E557" s="3">
        <v>42333</v>
      </c>
      <c r="F557" s="2" t="s">
        <v>3320</v>
      </c>
      <c r="G557" s="2"/>
      <c r="H557" s="2" t="s">
        <v>2425</v>
      </c>
      <c r="I557" s="2" t="s">
        <v>2426</v>
      </c>
      <c r="J557" s="3">
        <v>42393</v>
      </c>
      <c r="K557" s="2" t="str">
        <f>HYPERLINK("https://docs.wto.org/imrd/directdoc.asp?DDFDocuments/t/G/SPS/NCHN1037.DOC")</f>
        <v>https://docs.wto.org/imrd/directdoc.asp?DDFDocuments/t/G/SPS/NCHN1037.DOC</v>
      </c>
      <c r="L557" s="2" t="str">
        <f>HYPERLINK("https://docs.wto.org/imrd/directdoc.asp?DDFDocuments/u/G/SPS/NCHN1037.DOC")</f>
        <v>https://docs.wto.org/imrd/directdoc.asp?DDFDocuments/u/G/SPS/NCHN1037.DOC</v>
      </c>
      <c r="M557" s="2" t="str">
        <f>HYPERLINK("https://docs.wto.org/imrd/directdoc.asp?DDFDocuments/v/G/SPS/NCHN1037.DOC")</f>
        <v>https://docs.wto.org/imrd/directdoc.asp?DDFDocuments/v/G/SPS/NCHN1037.DOC</v>
      </c>
      <c r="N557" s="2" t="str">
        <f>HYPERLINK("http://www.epingalert.org/#/details/G/SPS/N/CHN/1037")</f>
        <v>http://www.epingalert.org/#/details/G/SPS/N/CHN/1037</v>
      </c>
      <c r="O557" s="2"/>
    </row>
    <row r="558" spans="1:15" ht="240" customHeight="1" outlineLevel="1" x14ac:dyDescent="0.25">
      <c r="A558" s="2" t="s">
        <v>380</v>
      </c>
      <c r="B558" s="2" t="s">
        <v>3321</v>
      </c>
      <c r="C558" s="2" t="s">
        <v>3322</v>
      </c>
      <c r="D558" s="2" t="s">
        <v>3323</v>
      </c>
      <c r="E558" s="3">
        <v>42333</v>
      </c>
      <c r="F558" s="2" t="s">
        <v>3324</v>
      </c>
      <c r="G558" s="2"/>
      <c r="H558" s="2" t="s">
        <v>2425</v>
      </c>
      <c r="I558" s="2" t="s">
        <v>2426</v>
      </c>
      <c r="J558" s="3">
        <v>42393</v>
      </c>
      <c r="K558" s="2" t="str">
        <f>HYPERLINK("https://docs.wto.org/imrd/directdoc.asp?DDFDocuments/t/G/SPS/NCHN1036.DOC")</f>
        <v>https://docs.wto.org/imrd/directdoc.asp?DDFDocuments/t/G/SPS/NCHN1036.DOC</v>
      </c>
      <c r="L558" s="2" t="str">
        <f>HYPERLINK("https://docs.wto.org/imrd/directdoc.asp?DDFDocuments/u/G/SPS/NCHN1036.DOC")</f>
        <v>https://docs.wto.org/imrd/directdoc.asp?DDFDocuments/u/G/SPS/NCHN1036.DOC</v>
      </c>
      <c r="M558" s="2" t="str">
        <f>HYPERLINK("https://docs.wto.org/imrd/directdoc.asp?DDFDocuments/v/G/SPS/NCHN1036.DOC")</f>
        <v>https://docs.wto.org/imrd/directdoc.asp?DDFDocuments/v/G/SPS/NCHN1036.DOC</v>
      </c>
      <c r="N558" s="2" t="str">
        <f>HYPERLINK("http://www.epingalert.org/#/details/G/SPS/N/CHN/1036")</f>
        <v>http://www.epingalert.org/#/details/G/SPS/N/CHN/1036</v>
      </c>
      <c r="O558" s="2"/>
    </row>
    <row r="559" spans="1:15" ht="240" customHeight="1" outlineLevel="1" x14ac:dyDescent="0.25">
      <c r="A559" s="2" t="s">
        <v>380</v>
      </c>
      <c r="B559" s="2" t="s">
        <v>3325</v>
      </c>
      <c r="C559" s="2" t="s">
        <v>3326</v>
      </c>
      <c r="D559" s="2" t="s">
        <v>3327</v>
      </c>
      <c r="E559" s="3">
        <v>42333</v>
      </c>
      <c r="F559" s="2" t="s">
        <v>3328</v>
      </c>
      <c r="G559" s="2"/>
      <c r="H559" s="2" t="s">
        <v>2425</v>
      </c>
      <c r="I559" s="2" t="s">
        <v>2426</v>
      </c>
      <c r="J559" s="3">
        <v>42393</v>
      </c>
      <c r="K559" s="2" t="str">
        <f>HYPERLINK("https://docs.wto.org/imrd/directdoc.asp?DDFDocuments/t/G/SPS/NCHN1035.DOC")</f>
        <v>https://docs.wto.org/imrd/directdoc.asp?DDFDocuments/t/G/SPS/NCHN1035.DOC</v>
      </c>
      <c r="L559" s="2" t="str">
        <f>HYPERLINK("https://docs.wto.org/imrd/directdoc.asp?DDFDocuments/u/G/SPS/NCHN1035.DOC")</f>
        <v>https://docs.wto.org/imrd/directdoc.asp?DDFDocuments/u/G/SPS/NCHN1035.DOC</v>
      </c>
      <c r="M559" s="2" t="str">
        <f>HYPERLINK("https://docs.wto.org/imrd/directdoc.asp?DDFDocuments/v/G/SPS/NCHN1035.DOC")</f>
        <v>https://docs.wto.org/imrd/directdoc.asp?DDFDocuments/v/G/SPS/NCHN1035.DOC</v>
      </c>
      <c r="N559" s="2" t="str">
        <f>HYPERLINK("http://www.epingalert.org/#/details/G/SPS/N/CHN/1035")</f>
        <v>http://www.epingalert.org/#/details/G/SPS/N/CHN/1035</v>
      </c>
      <c r="O559" s="2"/>
    </row>
    <row r="560" spans="1:15" ht="240" customHeight="1" outlineLevel="1" x14ac:dyDescent="0.25">
      <c r="A560" s="2" t="s">
        <v>380</v>
      </c>
      <c r="B560" s="2" t="s">
        <v>3329</v>
      </c>
      <c r="C560" s="2" t="s">
        <v>3330</v>
      </c>
      <c r="D560" s="2" t="s">
        <v>3331</v>
      </c>
      <c r="E560" s="3">
        <v>42333</v>
      </c>
      <c r="F560" s="2" t="s">
        <v>3332</v>
      </c>
      <c r="G560" s="2"/>
      <c r="H560" s="2" t="s">
        <v>2425</v>
      </c>
      <c r="I560" s="2" t="s">
        <v>2426</v>
      </c>
      <c r="J560" s="3">
        <v>42393</v>
      </c>
      <c r="K560" s="2" t="str">
        <f>HYPERLINK("https://docs.wto.org/imrd/directdoc.asp?DDFDocuments/t/G/SPS/NCHN1034.DOC")</f>
        <v>https://docs.wto.org/imrd/directdoc.asp?DDFDocuments/t/G/SPS/NCHN1034.DOC</v>
      </c>
      <c r="L560" s="2" t="str">
        <f>HYPERLINK("https://docs.wto.org/imrd/directdoc.asp?DDFDocuments/u/G/SPS/NCHN1034.DOC")</f>
        <v>https://docs.wto.org/imrd/directdoc.asp?DDFDocuments/u/G/SPS/NCHN1034.DOC</v>
      </c>
      <c r="M560" s="2" t="str">
        <f>HYPERLINK("https://docs.wto.org/imrd/directdoc.asp?DDFDocuments/v/G/SPS/NCHN1034.DOC")</f>
        <v>https://docs.wto.org/imrd/directdoc.asp?DDFDocuments/v/G/SPS/NCHN1034.DOC</v>
      </c>
      <c r="N560" s="2" t="str">
        <f>HYPERLINK("http://www.epingalert.org/#/details/G/SPS/N/CHN/1034")</f>
        <v>http://www.epingalert.org/#/details/G/SPS/N/CHN/1034</v>
      </c>
      <c r="O560" s="2"/>
    </row>
    <row r="561" spans="1:15" ht="240" customHeight="1" outlineLevel="1" x14ac:dyDescent="0.25">
      <c r="A561" s="2" t="s">
        <v>380</v>
      </c>
      <c r="B561" s="2" t="s">
        <v>3333</v>
      </c>
      <c r="C561" s="2" t="s">
        <v>3334</v>
      </c>
      <c r="D561" s="2" t="s">
        <v>3335</v>
      </c>
      <c r="E561" s="3">
        <v>42333</v>
      </c>
      <c r="F561" s="2" t="s">
        <v>3336</v>
      </c>
      <c r="G561" s="2"/>
      <c r="H561" s="2" t="s">
        <v>2425</v>
      </c>
      <c r="I561" s="2" t="s">
        <v>2426</v>
      </c>
      <c r="J561" s="3">
        <v>42393</v>
      </c>
      <c r="K561" s="2" t="str">
        <f>HYPERLINK("https://docs.wto.org/imrd/directdoc.asp?DDFDocuments/t/G/SPS/NCHN1033.DOC")</f>
        <v>https://docs.wto.org/imrd/directdoc.asp?DDFDocuments/t/G/SPS/NCHN1033.DOC</v>
      </c>
      <c r="L561" s="2" t="str">
        <f>HYPERLINK("https://docs.wto.org/imrd/directdoc.asp?DDFDocuments/u/G/SPS/NCHN1033.DOC")</f>
        <v>https://docs.wto.org/imrd/directdoc.asp?DDFDocuments/u/G/SPS/NCHN1033.DOC</v>
      </c>
      <c r="M561" s="2" t="str">
        <f>HYPERLINK("https://docs.wto.org/imrd/directdoc.asp?DDFDocuments/v/G/SPS/NCHN1033.DOC")</f>
        <v>https://docs.wto.org/imrd/directdoc.asp?DDFDocuments/v/G/SPS/NCHN1033.DOC</v>
      </c>
      <c r="N561" s="2" t="str">
        <f>HYPERLINK("http://www.epingalert.org/#/details/G/SPS/N/CHN/1033")</f>
        <v>http://www.epingalert.org/#/details/G/SPS/N/CHN/1033</v>
      </c>
      <c r="O561" s="2"/>
    </row>
    <row r="562" spans="1:15" ht="240" customHeight="1" outlineLevel="1" x14ac:dyDescent="0.25">
      <c r="A562" s="2" t="s">
        <v>380</v>
      </c>
      <c r="B562" s="2" t="s">
        <v>3337</v>
      </c>
      <c r="C562" s="2" t="s">
        <v>3338</v>
      </c>
      <c r="D562" s="2" t="s">
        <v>3339</v>
      </c>
      <c r="E562" s="3">
        <v>42333</v>
      </c>
      <c r="F562" s="2" t="s">
        <v>3340</v>
      </c>
      <c r="G562" s="2"/>
      <c r="H562" s="2" t="s">
        <v>2425</v>
      </c>
      <c r="I562" s="2" t="s">
        <v>2426</v>
      </c>
      <c r="J562" s="3">
        <v>42393</v>
      </c>
      <c r="K562" s="2" t="str">
        <f>HYPERLINK("https://docs.wto.org/imrd/directdoc.asp?DDFDocuments/t/G/SPS/NCHN1032.DOC")</f>
        <v>https://docs.wto.org/imrd/directdoc.asp?DDFDocuments/t/G/SPS/NCHN1032.DOC</v>
      </c>
      <c r="L562" s="2" t="str">
        <f>HYPERLINK("https://docs.wto.org/imrd/directdoc.asp?DDFDocuments/u/G/SPS/NCHN1032.DOC")</f>
        <v>https://docs.wto.org/imrd/directdoc.asp?DDFDocuments/u/G/SPS/NCHN1032.DOC</v>
      </c>
      <c r="M562" s="2" t="str">
        <f>HYPERLINK("https://docs.wto.org/imrd/directdoc.asp?DDFDocuments/v/G/SPS/NCHN1032.DOC")</f>
        <v>https://docs.wto.org/imrd/directdoc.asp?DDFDocuments/v/G/SPS/NCHN1032.DOC</v>
      </c>
      <c r="N562" s="2" t="str">
        <f>HYPERLINK("http://www.epingalert.org/#/details/G/SPS/N/CHN/1032")</f>
        <v>http://www.epingalert.org/#/details/G/SPS/N/CHN/1032</v>
      </c>
      <c r="O562" s="2"/>
    </row>
    <row r="563" spans="1:15" ht="240" customHeight="1" outlineLevel="1" x14ac:dyDescent="0.25">
      <c r="A563" s="2" t="s">
        <v>380</v>
      </c>
      <c r="B563" s="2" t="s">
        <v>7299</v>
      </c>
      <c r="C563" s="2" t="s">
        <v>7300</v>
      </c>
      <c r="D563" s="2" t="s">
        <v>7301</v>
      </c>
      <c r="E563" s="3">
        <v>42333</v>
      </c>
      <c r="F563" s="2" t="s">
        <v>7302</v>
      </c>
      <c r="G563" s="2" t="s">
        <v>2049</v>
      </c>
      <c r="H563" s="2" t="s">
        <v>2425</v>
      </c>
      <c r="I563" s="2" t="s">
        <v>2461</v>
      </c>
      <c r="J563" s="3">
        <v>42393</v>
      </c>
      <c r="K563" s="2" t="str">
        <f>HYPERLINK("https://docs.wto.org/imrd/directdoc.asp?DDFDocuments/t/G/SPS/NCHN1041.DOC")</f>
        <v>https://docs.wto.org/imrd/directdoc.asp?DDFDocuments/t/G/SPS/NCHN1041.DOC</v>
      </c>
      <c r="L563" s="2" t="str">
        <f>HYPERLINK("https://docs.wto.org/imrd/directdoc.asp?DDFDocuments/u/G/SPS/NCHN1041.DOC")</f>
        <v>https://docs.wto.org/imrd/directdoc.asp?DDFDocuments/u/G/SPS/NCHN1041.DOC</v>
      </c>
      <c r="M563" s="2" t="str">
        <f>HYPERLINK("https://docs.wto.org/imrd/directdoc.asp?DDFDocuments/v/G/SPS/NCHN1041.DOC")</f>
        <v>https://docs.wto.org/imrd/directdoc.asp?DDFDocuments/v/G/SPS/NCHN1041.DOC</v>
      </c>
      <c r="N563" s="2" t="str">
        <f>HYPERLINK("http://www.epingalert.org/#/details/G/SPS/N/CHN/1041")</f>
        <v>http://www.epingalert.org/#/details/G/SPS/N/CHN/1041</v>
      </c>
      <c r="O563" s="2"/>
    </row>
    <row r="564" spans="1:15" ht="240" customHeight="1" outlineLevel="1" x14ac:dyDescent="0.25">
      <c r="A564" s="2" t="s">
        <v>1488</v>
      </c>
      <c r="B564" s="2" t="s">
        <v>7297</v>
      </c>
      <c r="C564" s="2"/>
      <c r="D564" s="2"/>
      <c r="E564" s="3">
        <v>42333</v>
      </c>
      <c r="F564" s="2" t="s">
        <v>7298</v>
      </c>
      <c r="G564" s="2" t="s">
        <v>2049</v>
      </c>
      <c r="H564" s="2" t="s">
        <v>2425</v>
      </c>
      <c r="I564" s="2" t="s">
        <v>6503</v>
      </c>
      <c r="J564" s="2"/>
      <c r="K564" s="2" t="str">
        <f>HYPERLINK("https://docs.wto.org/imrd/directdoc.asp?DDFDocuments/t/G/SPS/NMEX255A1.DOC")</f>
        <v>https://docs.wto.org/imrd/directdoc.asp?DDFDocuments/t/G/SPS/NMEX255A1.DOC</v>
      </c>
      <c r="L564" s="2" t="str">
        <f>HYPERLINK("https://docs.wto.org/imrd/directdoc.asp?DDFDocuments/u/G/SPS/NMEX255A1.DOC")</f>
        <v>https://docs.wto.org/imrd/directdoc.asp?DDFDocuments/u/G/SPS/NMEX255A1.DOC</v>
      </c>
      <c r="M564" s="2" t="str">
        <f>HYPERLINK("https://docs.wto.org/imrd/directdoc.asp?DDFDocuments/v/G/SPS/NMEX255A1.DOC")</f>
        <v>https://docs.wto.org/imrd/directdoc.asp?DDFDocuments/v/G/SPS/NMEX255A1.DOC</v>
      </c>
      <c r="N564" s="2" t="str">
        <f>HYPERLINK("http://www.epingalert.org/#/details/G/SPS/N/MEX/255/Add.1")</f>
        <v>http://www.epingalert.org/#/details/G/SPS/N/MEX/255/Add.1</v>
      </c>
      <c r="O564" s="2"/>
    </row>
    <row r="565" spans="1:15" ht="240" customHeight="1" outlineLevel="1" x14ac:dyDescent="0.25">
      <c r="A565" s="2" t="s">
        <v>380</v>
      </c>
      <c r="B565" s="2" t="s">
        <v>3344</v>
      </c>
      <c r="C565" s="2" t="s">
        <v>3345</v>
      </c>
      <c r="D565" s="2" t="s">
        <v>3346</v>
      </c>
      <c r="E565" s="3">
        <v>42328</v>
      </c>
      <c r="F565" s="2" t="s">
        <v>3347</v>
      </c>
      <c r="G565" s="2"/>
      <c r="H565" s="2" t="s">
        <v>2425</v>
      </c>
      <c r="I565" s="2" t="s">
        <v>2426</v>
      </c>
      <c r="J565" s="3">
        <v>42388</v>
      </c>
      <c r="K565" s="2" t="str">
        <f>HYPERLINK("https://docs.wto.org/imrd/directdoc.asp?DDFDocuments/t/G/SPS/NCHN1031.DOC")</f>
        <v>https://docs.wto.org/imrd/directdoc.asp?DDFDocuments/t/G/SPS/NCHN1031.DOC</v>
      </c>
      <c r="L565" s="2" t="str">
        <f>HYPERLINK("https://docs.wto.org/imrd/directdoc.asp?DDFDocuments/u/G/SPS/NCHN1031.DOC")</f>
        <v>https://docs.wto.org/imrd/directdoc.asp?DDFDocuments/u/G/SPS/NCHN1031.DOC</v>
      </c>
      <c r="M565" s="2" t="str">
        <f>HYPERLINK("https://docs.wto.org/imrd/directdoc.asp?DDFDocuments/v/G/SPS/NCHN1031.DOC")</f>
        <v>https://docs.wto.org/imrd/directdoc.asp?DDFDocuments/v/G/SPS/NCHN1031.DOC</v>
      </c>
      <c r="N565" s="2" t="str">
        <f>HYPERLINK("http://www.epingalert.org/#/details/G/SPS/N/CHN/1031")</f>
        <v>http://www.epingalert.org/#/details/G/SPS/N/CHN/1031</v>
      </c>
      <c r="O565" s="2"/>
    </row>
    <row r="566" spans="1:15" ht="240" customHeight="1" outlineLevel="1" x14ac:dyDescent="0.25">
      <c r="A566" s="2" t="s">
        <v>380</v>
      </c>
      <c r="B566" s="2" t="s">
        <v>3348</v>
      </c>
      <c r="C566" s="2" t="s">
        <v>3349</v>
      </c>
      <c r="D566" s="2" t="s">
        <v>3350</v>
      </c>
      <c r="E566" s="3">
        <v>42328</v>
      </c>
      <c r="F566" s="2" t="s">
        <v>3351</v>
      </c>
      <c r="G566" s="2"/>
      <c r="H566" s="2" t="s">
        <v>2425</v>
      </c>
      <c r="I566" s="2" t="s">
        <v>2426</v>
      </c>
      <c r="J566" s="3">
        <v>42388</v>
      </c>
      <c r="K566" s="2" t="str">
        <f>HYPERLINK("https://docs.wto.org/imrd/directdoc.asp?DDFDocuments/t/G/SPS/NCHN1030.DOC")</f>
        <v>https://docs.wto.org/imrd/directdoc.asp?DDFDocuments/t/G/SPS/NCHN1030.DOC</v>
      </c>
      <c r="L566" s="2" t="str">
        <f>HYPERLINK("https://docs.wto.org/imrd/directdoc.asp?DDFDocuments/u/G/SPS/NCHN1030.DOC")</f>
        <v>https://docs.wto.org/imrd/directdoc.asp?DDFDocuments/u/G/SPS/NCHN1030.DOC</v>
      </c>
      <c r="M566" s="2" t="str">
        <f>HYPERLINK("https://docs.wto.org/imrd/directdoc.asp?DDFDocuments/v/G/SPS/NCHN1030.DOC")</f>
        <v>https://docs.wto.org/imrd/directdoc.asp?DDFDocuments/v/G/SPS/NCHN1030.DOC</v>
      </c>
      <c r="N566" s="2" t="str">
        <f>HYPERLINK("http://www.epingalert.org/#/details/G/SPS/N/CHN/1030")</f>
        <v>http://www.epingalert.org/#/details/G/SPS/N/CHN/1030</v>
      </c>
      <c r="O566" s="2"/>
    </row>
    <row r="567" spans="1:15" ht="240" customHeight="1" outlineLevel="1" x14ac:dyDescent="0.25">
      <c r="A567" s="2" t="s">
        <v>380</v>
      </c>
      <c r="B567" s="2" t="s">
        <v>3352</v>
      </c>
      <c r="C567" s="2" t="s">
        <v>3353</v>
      </c>
      <c r="D567" s="2" t="s">
        <v>3354</v>
      </c>
      <c r="E567" s="3">
        <v>42328</v>
      </c>
      <c r="F567" s="2" t="s">
        <v>3355</v>
      </c>
      <c r="G567" s="2"/>
      <c r="H567" s="2" t="s">
        <v>2425</v>
      </c>
      <c r="I567" s="2" t="s">
        <v>2426</v>
      </c>
      <c r="J567" s="3">
        <v>42388</v>
      </c>
      <c r="K567" s="2" t="str">
        <f>HYPERLINK("https://docs.wto.org/imrd/directdoc.asp?DDFDocuments/t/G/SPS/NCHN1029.DOC")</f>
        <v>https://docs.wto.org/imrd/directdoc.asp?DDFDocuments/t/G/SPS/NCHN1029.DOC</v>
      </c>
      <c r="L567" s="2" t="str">
        <f>HYPERLINK("https://docs.wto.org/imrd/directdoc.asp?DDFDocuments/u/G/SPS/NCHN1029.DOC")</f>
        <v>https://docs.wto.org/imrd/directdoc.asp?DDFDocuments/u/G/SPS/NCHN1029.DOC</v>
      </c>
      <c r="M567" s="2" t="str">
        <f>HYPERLINK("https://docs.wto.org/imrd/directdoc.asp?DDFDocuments/v/G/SPS/NCHN1029.DOC")</f>
        <v>https://docs.wto.org/imrd/directdoc.asp?DDFDocuments/v/G/SPS/NCHN1029.DOC</v>
      </c>
      <c r="N567" s="2" t="str">
        <f>HYPERLINK("http://www.epingalert.org/#/details/G/SPS/N/CHN/1029")</f>
        <v>http://www.epingalert.org/#/details/G/SPS/N/CHN/1029</v>
      </c>
      <c r="O567" s="2"/>
    </row>
    <row r="568" spans="1:15" ht="240" customHeight="1" outlineLevel="1" x14ac:dyDescent="0.25">
      <c r="A568" s="2" t="s">
        <v>380</v>
      </c>
      <c r="B568" s="2" t="s">
        <v>3356</v>
      </c>
      <c r="C568" s="2" t="s">
        <v>3357</v>
      </c>
      <c r="D568" s="2" t="s">
        <v>3358</v>
      </c>
      <c r="E568" s="3">
        <v>42328</v>
      </c>
      <c r="F568" s="2" t="s">
        <v>3359</v>
      </c>
      <c r="G568" s="2"/>
      <c r="H568" s="2" t="s">
        <v>2425</v>
      </c>
      <c r="I568" s="2" t="s">
        <v>2426</v>
      </c>
      <c r="J568" s="3">
        <v>42388</v>
      </c>
      <c r="K568" s="2" t="str">
        <f>HYPERLINK("https://docs.wto.org/imrd/directdoc.asp?DDFDocuments/t/G/SPS/NCHN1028.DOC")</f>
        <v>https://docs.wto.org/imrd/directdoc.asp?DDFDocuments/t/G/SPS/NCHN1028.DOC</v>
      </c>
      <c r="L568" s="2" t="str">
        <f>HYPERLINK("https://docs.wto.org/imrd/directdoc.asp?DDFDocuments/u/G/SPS/NCHN1028.DOC")</f>
        <v>https://docs.wto.org/imrd/directdoc.asp?DDFDocuments/u/G/SPS/NCHN1028.DOC</v>
      </c>
      <c r="M568" s="2" t="str">
        <f>HYPERLINK("https://docs.wto.org/imrd/directdoc.asp?DDFDocuments/v/G/SPS/NCHN1028.DOC")</f>
        <v>https://docs.wto.org/imrd/directdoc.asp?DDFDocuments/v/G/SPS/NCHN1028.DOC</v>
      </c>
      <c r="N568" s="2" t="str">
        <f>HYPERLINK("http://www.epingalert.org/#/details/G/SPS/N/CHN/1028")</f>
        <v>http://www.epingalert.org/#/details/G/SPS/N/CHN/1028</v>
      </c>
      <c r="O568" s="2"/>
    </row>
    <row r="569" spans="1:15" ht="240" customHeight="1" outlineLevel="1" x14ac:dyDescent="0.25">
      <c r="A569" s="2" t="s">
        <v>380</v>
      </c>
      <c r="B569" s="2" t="s">
        <v>3360</v>
      </c>
      <c r="C569" s="2" t="s">
        <v>3361</v>
      </c>
      <c r="D569" s="2" t="s">
        <v>3362</v>
      </c>
      <c r="E569" s="3">
        <v>42328</v>
      </c>
      <c r="F569" s="2" t="s">
        <v>3363</v>
      </c>
      <c r="G569" s="2"/>
      <c r="H569" s="2" t="s">
        <v>2425</v>
      </c>
      <c r="I569" s="2" t="s">
        <v>2426</v>
      </c>
      <c r="J569" s="3">
        <v>42388</v>
      </c>
      <c r="K569" s="2" t="str">
        <f>HYPERLINK("https://docs.wto.org/imrd/directdoc.asp?DDFDocuments/t/G/SPS/NCHN1027.DOC")</f>
        <v>https://docs.wto.org/imrd/directdoc.asp?DDFDocuments/t/G/SPS/NCHN1027.DOC</v>
      </c>
      <c r="L569" s="2" t="str">
        <f>HYPERLINK("https://docs.wto.org/imrd/directdoc.asp?DDFDocuments/u/G/SPS/NCHN1027.DOC")</f>
        <v>https://docs.wto.org/imrd/directdoc.asp?DDFDocuments/u/G/SPS/NCHN1027.DOC</v>
      </c>
      <c r="M569" s="2" t="str">
        <f>HYPERLINK("https://docs.wto.org/imrd/directdoc.asp?DDFDocuments/v/G/SPS/NCHN1027.DOC")</f>
        <v>https://docs.wto.org/imrd/directdoc.asp?DDFDocuments/v/G/SPS/NCHN1027.DOC</v>
      </c>
      <c r="N569" s="2" t="str">
        <f>HYPERLINK("http://www.epingalert.org/#/details/G/SPS/N/CHN/1027")</f>
        <v>http://www.epingalert.org/#/details/G/SPS/N/CHN/1027</v>
      </c>
      <c r="O569" s="2"/>
    </row>
    <row r="570" spans="1:15" ht="240" customHeight="1" outlineLevel="1" x14ac:dyDescent="0.25">
      <c r="A570" s="2" t="s">
        <v>380</v>
      </c>
      <c r="B570" s="2" t="s">
        <v>3364</v>
      </c>
      <c r="C570" s="2" t="s">
        <v>3365</v>
      </c>
      <c r="D570" s="2" t="s">
        <v>3366</v>
      </c>
      <c r="E570" s="3">
        <v>42328</v>
      </c>
      <c r="F570" s="2" t="s">
        <v>3367</v>
      </c>
      <c r="G570" s="2"/>
      <c r="H570" s="2" t="s">
        <v>2425</v>
      </c>
      <c r="I570" s="2" t="s">
        <v>2426</v>
      </c>
      <c r="J570" s="3">
        <v>42388</v>
      </c>
      <c r="K570" s="2" t="str">
        <f>HYPERLINK("https://docs.wto.org/imrd/directdoc.asp?DDFDocuments/t/G/SPS/NCHN1026.DOC")</f>
        <v>https://docs.wto.org/imrd/directdoc.asp?DDFDocuments/t/G/SPS/NCHN1026.DOC</v>
      </c>
      <c r="L570" s="2" t="str">
        <f>HYPERLINK("https://docs.wto.org/imrd/directdoc.asp?DDFDocuments/u/G/SPS/NCHN1026.DOC")</f>
        <v>https://docs.wto.org/imrd/directdoc.asp?DDFDocuments/u/G/SPS/NCHN1026.DOC</v>
      </c>
      <c r="M570" s="2" t="str">
        <f>HYPERLINK("https://docs.wto.org/imrd/directdoc.asp?DDFDocuments/v/G/SPS/NCHN1026.DOC")</f>
        <v>https://docs.wto.org/imrd/directdoc.asp?DDFDocuments/v/G/SPS/NCHN1026.DOC</v>
      </c>
      <c r="N570" s="2" t="str">
        <f>HYPERLINK("http://www.epingalert.org/#/details/G/SPS/N/CHN/1026")</f>
        <v>http://www.epingalert.org/#/details/G/SPS/N/CHN/1026</v>
      </c>
      <c r="O570" s="2"/>
    </row>
    <row r="571" spans="1:15" ht="240" customHeight="1" outlineLevel="1" x14ac:dyDescent="0.25">
      <c r="A571" s="2" t="s">
        <v>380</v>
      </c>
      <c r="B571" s="2" t="s">
        <v>3368</v>
      </c>
      <c r="C571" s="2" t="s">
        <v>3369</v>
      </c>
      <c r="D571" s="2" t="s">
        <v>3370</v>
      </c>
      <c r="E571" s="3">
        <v>42328</v>
      </c>
      <c r="F571" s="2" t="s">
        <v>3371</v>
      </c>
      <c r="G571" s="2"/>
      <c r="H571" s="2" t="s">
        <v>2425</v>
      </c>
      <c r="I571" s="2" t="s">
        <v>2426</v>
      </c>
      <c r="J571" s="3">
        <v>42388</v>
      </c>
      <c r="K571" s="2" t="str">
        <f>HYPERLINK("https://docs.wto.org/imrd/directdoc.asp?DDFDocuments/t/G/SPS/NCHN1025.DOC")</f>
        <v>https://docs.wto.org/imrd/directdoc.asp?DDFDocuments/t/G/SPS/NCHN1025.DOC</v>
      </c>
      <c r="L571" s="2" t="str">
        <f>HYPERLINK("https://docs.wto.org/imrd/directdoc.asp?DDFDocuments/u/G/SPS/NCHN1025.DOC")</f>
        <v>https://docs.wto.org/imrd/directdoc.asp?DDFDocuments/u/G/SPS/NCHN1025.DOC</v>
      </c>
      <c r="M571" s="2" t="str">
        <f>HYPERLINK("https://docs.wto.org/imrd/directdoc.asp?DDFDocuments/v/G/SPS/NCHN1025.DOC")</f>
        <v>https://docs.wto.org/imrd/directdoc.asp?DDFDocuments/v/G/SPS/NCHN1025.DOC</v>
      </c>
      <c r="N571" s="2" t="str">
        <f>HYPERLINK("http://www.epingalert.org/#/details/G/SPS/N/CHN/1025")</f>
        <v>http://www.epingalert.org/#/details/G/SPS/N/CHN/1025</v>
      </c>
      <c r="O571" s="2"/>
    </row>
    <row r="572" spans="1:15" ht="240" customHeight="1" outlineLevel="1" x14ac:dyDescent="0.25">
      <c r="A572" s="2" t="s">
        <v>37</v>
      </c>
      <c r="B572" s="2" t="s">
        <v>3341</v>
      </c>
      <c r="C572" s="2" t="s">
        <v>3342</v>
      </c>
      <c r="D572" s="2" t="s">
        <v>3343</v>
      </c>
      <c r="E572" s="3">
        <v>42328</v>
      </c>
      <c r="F572" s="2" t="s">
        <v>537</v>
      </c>
      <c r="G572" s="2"/>
      <c r="H572" s="2" t="s">
        <v>2425</v>
      </c>
      <c r="I572" s="2" t="s">
        <v>2426</v>
      </c>
      <c r="J572" s="3">
        <v>42344</v>
      </c>
      <c r="K572" s="2" t="str">
        <f>HYPERLINK("https://docs.wto.org/imrd/directdoc.asp?DDFDocuments/t/G/SPS/NTUR67.DOC")</f>
        <v>https://docs.wto.org/imrd/directdoc.asp?DDFDocuments/t/G/SPS/NTUR67.DOC</v>
      </c>
      <c r="L572" s="2" t="str">
        <f>HYPERLINK("https://docs.wto.org/imrd/directdoc.asp?DDFDocuments/u/G/SPS/NTUR67.DOC")</f>
        <v>https://docs.wto.org/imrd/directdoc.asp?DDFDocuments/u/G/SPS/NTUR67.DOC</v>
      </c>
      <c r="M572" s="2" t="str">
        <f>HYPERLINK("https://docs.wto.org/imrd/directdoc.asp?DDFDocuments/v/G/SPS/NTUR67.DOC")</f>
        <v>https://docs.wto.org/imrd/directdoc.asp?DDFDocuments/v/G/SPS/NTUR67.DOC</v>
      </c>
      <c r="N572" s="2" t="str">
        <f>HYPERLINK("http://www.epingalert.org/#/details/G/SPS/N/TUR/67")</f>
        <v>http://www.epingalert.org/#/details/G/SPS/N/TUR/67</v>
      </c>
      <c r="O572" s="2"/>
    </row>
    <row r="573" spans="1:15" ht="240" customHeight="1" outlineLevel="1" x14ac:dyDescent="0.25">
      <c r="A573" s="2" t="s">
        <v>380</v>
      </c>
      <c r="B573" s="2" t="s">
        <v>3375</v>
      </c>
      <c r="C573" s="2" t="s">
        <v>3376</v>
      </c>
      <c r="D573" s="2" t="s">
        <v>3377</v>
      </c>
      <c r="E573" s="3">
        <v>42327</v>
      </c>
      <c r="F573" s="2" t="s">
        <v>3378</v>
      </c>
      <c r="G573" s="2" t="s">
        <v>2661</v>
      </c>
      <c r="H573" s="2" t="s">
        <v>2425</v>
      </c>
      <c r="I573" s="2" t="s">
        <v>2461</v>
      </c>
      <c r="J573" s="3">
        <v>42387</v>
      </c>
      <c r="K573" s="2" t="str">
        <f>HYPERLINK("https://docs.wto.org/imrd/directdoc.asp?DDFDocuments/t/G/SPS/NCHN1010.DOC")</f>
        <v>https://docs.wto.org/imrd/directdoc.asp?DDFDocuments/t/G/SPS/NCHN1010.DOC</v>
      </c>
      <c r="L573" s="2" t="str">
        <f>HYPERLINK("https://docs.wto.org/imrd/directdoc.asp?DDFDocuments/u/G/SPS/NCHN1010.DOC")</f>
        <v>https://docs.wto.org/imrd/directdoc.asp?DDFDocuments/u/G/SPS/NCHN1010.DOC</v>
      </c>
      <c r="M573" s="2" t="str">
        <f>HYPERLINK("https://docs.wto.org/imrd/directdoc.asp?DDFDocuments/v/G/SPS/NCHN1010.DOC")</f>
        <v>https://docs.wto.org/imrd/directdoc.asp?DDFDocuments/v/G/SPS/NCHN1010.DOC</v>
      </c>
      <c r="N573" s="2" t="str">
        <f>HYPERLINK("http://www.epingalert.org/#/details/G/SPS/N/CHN/1010")</f>
        <v>http://www.epingalert.org/#/details/G/SPS/N/CHN/1010</v>
      </c>
      <c r="O573" s="2"/>
    </row>
    <row r="574" spans="1:15" ht="240" customHeight="1" outlineLevel="1" x14ac:dyDescent="0.25">
      <c r="A574" s="2" t="s">
        <v>380</v>
      </c>
      <c r="B574" s="2" t="s">
        <v>3379</v>
      </c>
      <c r="C574" s="2" t="s">
        <v>3380</v>
      </c>
      <c r="D574" s="2" t="s">
        <v>3381</v>
      </c>
      <c r="E574" s="3">
        <v>42327</v>
      </c>
      <c r="F574" s="2" t="s">
        <v>3382</v>
      </c>
      <c r="G574" s="2" t="s">
        <v>3383</v>
      </c>
      <c r="H574" s="2" t="s">
        <v>2425</v>
      </c>
      <c r="I574" s="2" t="s">
        <v>2426</v>
      </c>
      <c r="J574" s="3">
        <v>42387</v>
      </c>
      <c r="K574" s="2" t="str">
        <f>HYPERLINK("https://docs.wto.org/imrd/directdoc.asp?DDFDocuments/t/G/SPS/NCHN1007.DOC")</f>
        <v>https://docs.wto.org/imrd/directdoc.asp?DDFDocuments/t/G/SPS/NCHN1007.DOC</v>
      </c>
      <c r="L574" s="2" t="str">
        <f>HYPERLINK("https://docs.wto.org/imrd/directdoc.asp?DDFDocuments/u/G/SPS/NCHN1007.DOC")</f>
        <v>https://docs.wto.org/imrd/directdoc.asp?DDFDocuments/u/G/SPS/NCHN1007.DOC</v>
      </c>
      <c r="M574" s="2" t="str">
        <f>HYPERLINK("https://docs.wto.org/imrd/directdoc.asp?DDFDocuments/v/G/SPS/NCHN1007.DOC")</f>
        <v>https://docs.wto.org/imrd/directdoc.asp?DDFDocuments/v/G/SPS/NCHN1007.DOC</v>
      </c>
      <c r="N574" s="2" t="str">
        <f>HYPERLINK("http://www.epingalert.org/#/details/G/SPS/N/CHN/1007")</f>
        <v>http://www.epingalert.org/#/details/G/SPS/N/CHN/1007</v>
      </c>
      <c r="O574" s="2"/>
    </row>
    <row r="575" spans="1:15" ht="240" customHeight="1" outlineLevel="1" x14ac:dyDescent="0.25">
      <c r="A575" s="2" t="s">
        <v>380</v>
      </c>
      <c r="B575" s="2" t="s">
        <v>3384</v>
      </c>
      <c r="C575" s="2" t="s">
        <v>3385</v>
      </c>
      <c r="D575" s="2" t="s">
        <v>3386</v>
      </c>
      <c r="E575" s="3">
        <v>42327</v>
      </c>
      <c r="F575" s="2" t="s">
        <v>3387</v>
      </c>
      <c r="G575" s="2"/>
      <c r="H575" s="2" t="s">
        <v>2425</v>
      </c>
      <c r="I575" s="2" t="s">
        <v>2426</v>
      </c>
      <c r="J575" s="3">
        <v>42387</v>
      </c>
      <c r="K575" s="2" t="str">
        <f>HYPERLINK("https://docs.wto.org/imrd/directdoc.asp?DDFDocuments/t/G/SPS/NCHN1024.DOC")</f>
        <v>https://docs.wto.org/imrd/directdoc.asp?DDFDocuments/t/G/SPS/NCHN1024.DOC</v>
      </c>
      <c r="L575" s="2" t="str">
        <f>HYPERLINK("https://docs.wto.org/imrd/directdoc.asp?DDFDocuments/u/G/SPS/NCHN1024.DOC")</f>
        <v>https://docs.wto.org/imrd/directdoc.asp?DDFDocuments/u/G/SPS/NCHN1024.DOC</v>
      </c>
      <c r="M575" s="2" t="str">
        <f>HYPERLINK("https://docs.wto.org/imrd/directdoc.asp?DDFDocuments/v/G/SPS/NCHN1024.DOC")</f>
        <v>https://docs.wto.org/imrd/directdoc.asp?DDFDocuments/v/G/SPS/NCHN1024.DOC</v>
      </c>
      <c r="N575" s="2" t="str">
        <f>HYPERLINK("http://www.epingalert.org/#/details/G/SPS/N/CHN/1024")</f>
        <v>http://www.epingalert.org/#/details/G/SPS/N/CHN/1024</v>
      </c>
      <c r="O575" s="2"/>
    </row>
    <row r="576" spans="1:15" ht="240" customHeight="1" outlineLevel="1" x14ac:dyDescent="0.25">
      <c r="A576" s="2" t="s">
        <v>380</v>
      </c>
      <c r="B576" s="2" t="s">
        <v>3388</v>
      </c>
      <c r="C576" s="2" t="s">
        <v>3389</v>
      </c>
      <c r="D576" s="2" t="s">
        <v>3390</v>
      </c>
      <c r="E576" s="3">
        <v>42327</v>
      </c>
      <c r="F576" s="2" t="s">
        <v>3391</v>
      </c>
      <c r="G576" s="2"/>
      <c r="H576" s="2" t="s">
        <v>2425</v>
      </c>
      <c r="I576" s="2" t="s">
        <v>2426</v>
      </c>
      <c r="J576" s="3">
        <v>42387</v>
      </c>
      <c r="K576" s="2" t="str">
        <f>HYPERLINK("https://docs.wto.org/imrd/directdoc.asp?DDFDocuments/t/G/SPS/NCHN1023.DOC")</f>
        <v>https://docs.wto.org/imrd/directdoc.asp?DDFDocuments/t/G/SPS/NCHN1023.DOC</v>
      </c>
      <c r="L576" s="2" t="str">
        <f>HYPERLINK("https://docs.wto.org/imrd/directdoc.asp?DDFDocuments/u/G/SPS/NCHN1023.DOC")</f>
        <v>https://docs.wto.org/imrd/directdoc.asp?DDFDocuments/u/G/SPS/NCHN1023.DOC</v>
      </c>
      <c r="M576" s="2" t="str">
        <f>HYPERLINK("https://docs.wto.org/imrd/directdoc.asp?DDFDocuments/v/G/SPS/NCHN1023.DOC")</f>
        <v>https://docs.wto.org/imrd/directdoc.asp?DDFDocuments/v/G/SPS/NCHN1023.DOC</v>
      </c>
      <c r="N576" s="2" t="str">
        <f>HYPERLINK("http://www.epingalert.org/#/details/G/SPS/N/CHN/1023")</f>
        <v>http://www.epingalert.org/#/details/G/SPS/N/CHN/1023</v>
      </c>
      <c r="O576" s="2"/>
    </row>
    <row r="577" spans="1:15" ht="240" customHeight="1" outlineLevel="1" x14ac:dyDescent="0.25">
      <c r="A577" s="2" t="s">
        <v>380</v>
      </c>
      <c r="B577" s="2" t="s">
        <v>3392</v>
      </c>
      <c r="C577" s="2" t="s">
        <v>3393</v>
      </c>
      <c r="D577" s="2" t="s">
        <v>3394</v>
      </c>
      <c r="E577" s="3">
        <v>42327</v>
      </c>
      <c r="F577" s="2" t="s">
        <v>3395</v>
      </c>
      <c r="G577" s="2"/>
      <c r="H577" s="2" t="s">
        <v>2425</v>
      </c>
      <c r="I577" s="2" t="s">
        <v>2426</v>
      </c>
      <c r="J577" s="3">
        <v>42387</v>
      </c>
      <c r="K577" s="2" t="str">
        <f>HYPERLINK("https://docs.wto.org/imrd/directdoc.asp?DDFDocuments/t/G/SPS/NCHN1022.DOC")</f>
        <v>https://docs.wto.org/imrd/directdoc.asp?DDFDocuments/t/G/SPS/NCHN1022.DOC</v>
      </c>
      <c r="L577" s="2" t="str">
        <f>HYPERLINK("https://docs.wto.org/imrd/directdoc.asp?DDFDocuments/u/G/SPS/NCHN1022.DOC")</f>
        <v>https://docs.wto.org/imrd/directdoc.asp?DDFDocuments/u/G/SPS/NCHN1022.DOC</v>
      </c>
      <c r="M577" s="2" t="str">
        <f>HYPERLINK("https://docs.wto.org/imrd/directdoc.asp?DDFDocuments/v/G/SPS/NCHN1022.DOC")</f>
        <v>https://docs.wto.org/imrd/directdoc.asp?DDFDocuments/v/G/SPS/NCHN1022.DOC</v>
      </c>
      <c r="N577" s="2" t="str">
        <f>HYPERLINK("http://www.epingalert.org/#/details/G/SPS/N/CHN/1022")</f>
        <v>http://www.epingalert.org/#/details/G/SPS/N/CHN/1022</v>
      </c>
      <c r="O577" s="2"/>
    </row>
    <row r="578" spans="1:15" ht="240" customHeight="1" outlineLevel="1" x14ac:dyDescent="0.25">
      <c r="A578" s="2" t="s">
        <v>380</v>
      </c>
      <c r="B578" s="2" t="s">
        <v>3396</v>
      </c>
      <c r="C578" s="2" t="s">
        <v>3397</v>
      </c>
      <c r="D578" s="2" t="s">
        <v>3398</v>
      </c>
      <c r="E578" s="3">
        <v>42327</v>
      </c>
      <c r="F578" s="2" t="s">
        <v>3399</v>
      </c>
      <c r="G578" s="2"/>
      <c r="H578" s="2" t="s">
        <v>2425</v>
      </c>
      <c r="I578" s="2" t="s">
        <v>2426</v>
      </c>
      <c r="J578" s="3">
        <v>42387</v>
      </c>
      <c r="K578" s="2" t="str">
        <f>HYPERLINK("https://docs.wto.org/imrd/directdoc.asp?DDFDocuments/t/G/SPS/NCHN1021.DOC")</f>
        <v>https://docs.wto.org/imrd/directdoc.asp?DDFDocuments/t/G/SPS/NCHN1021.DOC</v>
      </c>
      <c r="L578" s="2" t="str">
        <f>HYPERLINK("https://docs.wto.org/imrd/directdoc.asp?DDFDocuments/u/G/SPS/NCHN1021.DOC")</f>
        <v>https://docs.wto.org/imrd/directdoc.asp?DDFDocuments/u/G/SPS/NCHN1021.DOC</v>
      </c>
      <c r="M578" s="2" t="str">
        <f>HYPERLINK("https://docs.wto.org/imrd/directdoc.asp?DDFDocuments/v/G/SPS/NCHN1021.DOC")</f>
        <v>https://docs.wto.org/imrd/directdoc.asp?DDFDocuments/v/G/SPS/NCHN1021.DOC</v>
      </c>
      <c r="N578" s="2" t="str">
        <f>HYPERLINK("http://www.epingalert.org/#/details/G/SPS/N/CHN/1021")</f>
        <v>http://www.epingalert.org/#/details/G/SPS/N/CHN/1021</v>
      </c>
      <c r="O578" s="2"/>
    </row>
    <row r="579" spans="1:15" ht="240" customHeight="1" outlineLevel="1" x14ac:dyDescent="0.25">
      <c r="A579" s="2" t="s">
        <v>380</v>
      </c>
      <c r="B579" s="2" t="s">
        <v>3400</v>
      </c>
      <c r="C579" s="2" t="s">
        <v>3401</v>
      </c>
      <c r="D579" s="2" t="s">
        <v>3402</v>
      </c>
      <c r="E579" s="3">
        <v>42327</v>
      </c>
      <c r="F579" s="2" t="s">
        <v>3403</v>
      </c>
      <c r="G579" s="2"/>
      <c r="H579" s="2" t="s">
        <v>2425</v>
      </c>
      <c r="I579" s="2" t="s">
        <v>2426</v>
      </c>
      <c r="J579" s="3">
        <v>42387</v>
      </c>
      <c r="K579" s="2" t="str">
        <f>HYPERLINK("https://docs.wto.org/imrd/directdoc.asp?DDFDocuments/t/G/SPS/NCHN1020.DOC")</f>
        <v>https://docs.wto.org/imrd/directdoc.asp?DDFDocuments/t/G/SPS/NCHN1020.DOC</v>
      </c>
      <c r="L579" s="2" t="str">
        <f>HYPERLINK("https://docs.wto.org/imrd/directdoc.asp?DDFDocuments/u/G/SPS/NCHN1020.DOC")</f>
        <v>https://docs.wto.org/imrd/directdoc.asp?DDFDocuments/u/G/SPS/NCHN1020.DOC</v>
      </c>
      <c r="M579" s="2" t="str">
        <f>HYPERLINK("https://docs.wto.org/imrd/directdoc.asp?DDFDocuments/v/G/SPS/NCHN1020.DOC")</f>
        <v>https://docs.wto.org/imrd/directdoc.asp?DDFDocuments/v/G/SPS/NCHN1020.DOC</v>
      </c>
      <c r="N579" s="2" t="str">
        <f>HYPERLINK("http://www.epingalert.org/#/details/G/SPS/N/CHN/1020")</f>
        <v>http://www.epingalert.org/#/details/G/SPS/N/CHN/1020</v>
      </c>
      <c r="O579" s="2"/>
    </row>
    <row r="580" spans="1:15" ht="240" customHeight="1" outlineLevel="1" x14ac:dyDescent="0.25">
      <c r="A580" s="2" t="s">
        <v>380</v>
      </c>
      <c r="B580" s="2" t="s">
        <v>3404</v>
      </c>
      <c r="C580" s="2" t="s">
        <v>3405</v>
      </c>
      <c r="D580" s="2" t="s">
        <v>3406</v>
      </c>
      <c r="E580" s="3">
        <v>42327</v>
      </c>
      <c r="F580" s="2" t="s">
        <v>3407</v>
      </c>
      <c r="G580" s="2" t="s">
        <v>3408</v>
      </c>
      <c r="H580" s="2" t="s">
        <v>2425</v>
      </c>
      <c r="I580" s="2" t="s">
        <v>2426</v>
      </c>
      <c r="J580" s="3">
        <v>42387</v>
      </c>
      <c r="K580" s="2" t="str">
        <f>HYPERLINK("https://docs.wto.org/imrd/directdoc.asp?DDFDocuments/t/G/SPS/NCHN1019.DOC")</f>
        <v>https://docs.wto.org/imrd/directdoc.asp?DDFDocuments/t/G/SPS/NCHN1019.DOC</v>
      </c>
      <c r="L580" s="2" t="str">
        <f>HYPERLINK("https://docs.wto.org/imrd/directdoc.asp?DDFDocuments/u/G/SPS/NCHN1019.DOC")</f>
        <v>https://docs.wto.org/imrd/directdoc.asp?DDFDocuments/u/G/SPS/NCHN1019.DOC</v>
      </c>
      <c r="M580" s="2" t="str">
        <f>HYPERLINK("https://docs.wto.org/imrd/directdoc.asp?DDFDocuments/v/G/SPS/NCHN1019.DOC")</f>
        <v>https://docs.wto.org/imrd/directdoc.asp?DDFDocuments/v/G/SPS/NCHN1019.DOC</v>
      </c>
      <c r="N580" s="2" t="str">
        <f>HYPERLINK("http://www.epingalert.org/#/details/G/SPS/N/CHN/1019")</f>
        <v>http://www.epingalert.org/#/details/G/SPS/N/CHN/1019</v>
      </c>
      <c r="O580" s="2"/>
    </row>
    <row r="581" spans="1:15" ht="240" customHeight="1" outlineLevel="1" x14ac:dyDescent="0.25">
      <c r="A581" s="2" t="s">
        <v>380</v>
      </c>
      <c r="B581" s="2" t="s">
        <v>3409</v>
      </c>
      <c r="C581" s="2" t="s">
        <v>3410</v>
      </c>
      <c r="D581" s="2" t="s">
        <v>3411</v>
      </c>
      <c r="E581" s="3">
        <v>42327</v>
      </c>
      <c r="F581" s="2" t="s">
        <v>3412</v>
      </c>
      <c r="G581" s="2" t="s">
        <v>3413</v>
      </c>
      <c r="H581" s="2" t="s">
        <v>2425</v>
      </c>
      <c r="I581" s="2" t="s">
        <v>2597</v>
      </c>
      <c r="J581" s="3">
        <v>42387</v>
      </c>
      <c r="K581" s="2" t="str">
        <f>HYPERLINK("https://docs.wto.org/imrd/directdoc.asp?DDFDocuments/t/G/SPS/NCHN1018.DOC")</f>
        <v>https://docs.wto.org/imrd/directdoc.asp?DDFDocuments/t/G/SPS/NCHN1018.DOC</v>
      </c>
      <c r="L581" s="2" t="str">
        <f>HYPERLINK("https://docs.wto.org/imrd/directdoc.asp?DDFDocuments/u/G/SPS/NCHN1018.DOC")</f>
        <v>https://docs.wto.org/imrd/directdoc.asp?DDFDocuments/u/G/SPS/NCHN1018.DOC</v>
      </c>
      <c r="M581" s="2" t="str">
        <f>HYPERLINK("https://docs.wto.org/imrd/directdoc.asp?DDFDocuments/v/G/SPS/NCHN1018.DOC")</f>
        <v>https://docs.wto.org/imrd/directdoc.asp?DDFDocuments/v/G/SPS/NCHN1018.DOC</v>
      </c>
      <c r="N581" s="2" t="str">
        <f>HYPERLINK("http://www.epingalert.org/#/details/G/SPS/N/CHN/1018")</f>
        <v>http://www.epingalert.org/#/details/G/SPS/N/CHN/1018</v>
      </c>
      <c r="O581" s="2"/>
    </row>
    <row r="582" spans="1:15" ht="240" customHeight="1" outlineLevel="1" x14ac:dyDescent="0.25">
      <c r="A582" s="2" t="s">
        <v>380</v>
      </c>
      <c r="B582" s="2" t="s">
        <v>3414</v>
      </c>
      <c r="C582" s="2" t="s">
        <v>3415</v>
      </c>
      <c r="D582" s="2" t="s">
        <v>3416</v>
      </c>
      <c r="E582" s="3">
        <v>42327</v>
      </c>
      <c r="F582" s="2" t="s">
        <v>3417</v>
      </c>
      <c r="G582" s="2" t="s">
        <v>2607</v>
      </c>
      <c r="H582" s="2" t="s">
        <v>2425</v>
      </c>
      <c r="I582" s="2" t="s">
        <v>2597</v>
      </c>
      <c r="J582" s="3">
        <v>42387</v>
      </c>
      <c r="K582" s="2" t="str">
        <f>HYPERLINK("https://docs.wto.org/imrd/directdoc.asp?DDFDocuments/t/G/SPS/NCHN1017.DOC")</f>
        <v>https://docs.wto.org/imrd/directdoc.asp?DDFDocuments/t/G/SPS/NCHN1017.DOC</v>
      </c>
      <c r="L582" s="2" t="str">
        <f>HYPERLINK("https://docs.wto.org/imrd/directdoc.asp?DDFDocuments/u/G/SPS/NCHN1017.DOC")</f>
        <v>https://docs.wto.org/imrd/directdoc.asp?DDFDocuments/u/G/SPS/NCHN1017.DOC</v>
      </c>
      <c r="M582" s="2" t="str">
        <f>HYPERLINK("https://docs.wto.org/imrd/directdoc.asp?DDFDocuments/v/G/SPS/NCHN1017.DOC")</f>
        <v>https://docs.wto.org/imrd/directdoc.asp?DDFDocuments/v/G/SPS/NCHN1017.DOC</v>
      </c>
      <c r="N582" s="2" t="str">
        <f>HYPERLINK("http://www.epingalert.org/#/details/G/SPS/N/CHN/1017")</f>
        <v>http://www.epingalert.org/#/details/G/SPS/N/CHN/1017</v>
      </c>
      <c r="O582" s="2"/>
    </row>
    <row r="583" spans="1:15" ht="240" customHeight="1" outlineLevel="1" x14ac:dyDescent="0.25">
      <c r="A583" s="2" t="s">
        <v>380</v>
      </c>
      <c r="B583" s="2" t="s">
        <v>3418</v>
      </c>
      <c r="C583" s="2" t="s">
        <v>3419</v>
      </c>
      <c r="D583" s="2" t="s">
        <v>3420</v>
      </c>
      <c r="E583" s="3">
        <v>42327</v>
      </c>
      <c r="F583" s="2" t="s">
        <v>3421</v>
      </c>
      <c r="G583" s="2" t="s">
        <v>3413</v>
      </c>
      <c r="H583" s="2" t="s">
        <v>2425</v>
      </c>
      <c r="I583" s="2" t="s">
        <v>3422</v>
      </c>
      <c r="J583" s="3">
        <v>42387</v>
      </c>
      <c r="K583" s="2" t="str">
        <f>HYPERLINK("https://docs.wto.org/imrd/directdoc.asp?DDFDocuments/t/G/SPS/NCHN1016.DOC")</f>
        <v>https://docs.wto.org/imrd/directdoc.asp?DDFDocuments/t/G/SPS/NCHN1016.DOC</v>
      </c>
      <c r="L583" s="2" t="str">
        <f>HYPERLINK("https://docs.wto.org/imrd/directdoc.asp?DDFDocuments/u/G/SPS/NCHN1016.DOC")</f>
        <v>https://docs.wto.org/imrd/directdoc.asp?DDFDocuments/u/G/SPS/NCHN1016.DOC</v>
      </c>
      <c r="M583" s="2" t="str">
        <f>HYPERLINK("https://docs.wto.org/imrd/directdoc.asp?DDFDocuments/v/G/SPS/NCHN1016.DOC")</f>
        <v>https://docs.wto.org/imrd/directdoc.asp?DDFDocuments/v/G/SPS/NCHN1016.DOC</v>
      </c>
      <c r="N583" s="2" t="str">
        <f>HYPERLINK("http://www.epingalert.org/#/details/G/SPS/N/CHN/1016")</f>
        <v>http://www.epingalert.org/#/details/G/SPS/N/CHN/1016</v>
      </c>
      <c r="O583" s="2"/>
    </row>
    <row r="584" spans="1:15" ht="240" customHeight="1" outlineLevel="1" x14ac:dyDescent="0.25">
      <c r="A584" s="2" t="s">
        <v>380</v>
      </c>
      <c r="B584" s="2" t="s">
        <v>3423</v>
      </c>
      <c r="C584" s="2" t="s">
        <v>3424</v>
      </c>
      <c r="D584" s="2" t="s">
        <v>3425</v>
      </c>
      <c r="E584" s="3">
        <v>42327</v>
      </c>
      <c r="F584" s="2" t="s">
        <v>3426</v>
      </c>
      <c r="G584" s="2" t="s">
        <v>3427</v>
      </c>
      <c r="H584" s="2" t="s">
        <v>2425</v>
      </c>
      <c r="I584" s="2" t="s">
        <v>3422</v>
      </c>
      <c r="J584" s="3">
        <v>42387</v>
      </c>
      <c r="K584" s="2" t="str">
        <f>HYPERLINK("https://docs.wto.org/imrd/directdoc.asp?DDFDocuments/t/G/SPS/NCHN1015.DOC")</f>
        <v>https://docs.wto.org/imrd/directdoc.asp?DDFDocuments/t/G/SPS/NCHN1015.DOC</v>
      </c>
      <c r="L584" s="2" t="str">
        <f>HYPERLINK("https://docs.wto.org/imrd/directdoc.asp?DDFDocuments/u/G/SPS/NCHN1015.DOC")</f>
        <v>https://docs.wto.org/imrd/directdoc.asp?DDFDocuments/u/G/SPS/NCHN1015.DOC</v>
      </c>
      <c r="M584" s="2" t="str">
        <f>HYPERLINK("https://docs.wto.org/imrd/directdoc.asp?DDFDocuments/v/G/SPS/NCHN1015.DOC")</f>
        <v>https://docs.wto.org/imrd/directdoc.asp?DDFDocuments/v/G/SPS/NCHN1015.DOC</v>
      </c>
      <c r="N584" s="2" t="str">
        <f>HYPERLINK("http://www.epingalert.org/#/details/G/SPS/N/CHN/1015")</f>
        <v>http://www.epingalert.org/#/details/G/SPS/N/CHN/1015</v>
      </c>
      <c r="O584" s="2"/>
    </row>
    <row r="585" spans="1:15" ht="240" customHeight="1" outlineLevel="1" x14ac:dyDescent="0.25">
      <c r="A585" s="2" t="s">
        <v>380</v>
      </c>
      <c r="B585" s="2" t="s">
        <v>3428</v>
      </c>
      <c r="C585" s="2" t="s">
        <v>3429</v>
      </c>
      <c r="D585" s="2" t="s">
        <v>3430</v>
      </c>
      <c r="E585" s="3">
        <v>42327</v>
      </c>
      <c r="F585" s="2" t="s">
        <v>3431</v>
      </c>
      <c r="G585" s="2" t="s">
        <v>3432</v>
      </c>
      <c r="H585" s="2" t="s">
        <v>2425</v>
      </c>
      <c r="I585" s="2" t="s">
        <v>3422</v>
      </c>
      <c r="J585" s="3">
        <v>42387</v>
      </c>
      <c r="K585" s="2" t="str">
        <f>HYPERLINK("https://docs.wto.org/imrd/directdoc.asp?DDFDocuments/t/G/SPS/NCHN1014.DOC")</f>
        <v>https://docs.wto.org/imrd/directdoc.asp?DDFDocuments/t/G/SPS/NCHN1014.DOC</v>
      </c>
      <c r="L585" s="2" t="str">
        <f>HYPERLINK("https://docs.wto.org/imrd/directdoc.asp?DDFDocuments/u/G/SPS/NCHN1014.DOC")</f>
        <v>https://docs.wto.org/imrd/directdoc.asp?DDFDocuments/u/G/SPS/NCHN1014.DOC</v>
      </c>
      <c r="M585" s="2" t="str">
        <f>HYPERLINK("https://docs.wto.org/imrd/directdoc.asp?DDFDocuments/v/G/SPS/NCHN1014.DOC")</f>
        <v>https://docs.wto.org/imrd/directdoc.asp?DDFDocuments/v/G/SPS/NCHN1014.DOC</v>
      </c>
      <c r="N585" s="2" t="str">
        <f>HYPERLINK("http://www.epingalert.org/#/details/G/SPS/N/CHN/1014")</f>
        <v>http://www.epingalert.org/#/details/G/SPS/N/CHN/1014</v>
      </c>
      <c r="O585" s="2"/>
    </row>
    <row r="586" spans="1:15" ht="240" customHeight="1" outlineLevel="1" x14ac:dyDescent="0.25">
      <c r="A586" s="2" t="s">
        <v>380</v>
      </c>
      <c r="B586" s="2" t="s">
        <v>3433</v>
      </c>
      <c r="C586" s="2" t="s">
        <v>3434</v>
      </c>
      <c r="D586" s="2" t="s">
        <v>3435</v>
      </c>
      <c r="E586" s="3">
        <v>42327</v>
      </c>
      <c r="F586" s="2" t="s">
        <v>3436</v>
      </c>
      <c r="G586" s="2" t="s">
        <v>3437</v>
      </c>
      <c r="H586" s="2" t="s">
        <v>2425</v>
      </c>
      <c r="I586" s="2" t="s">
        <v>3422</v>
      </c>
      <c r="J586" s="3">
        <v>42387</v>
      </c>
      <c r="K586" s="2" t="str">
        <f>HYPERLINK("https://docs.wto.org/imrd/directdoc.asp?DDFDocuments/t/G/SPS/NCHN1013.DOC")</f>
        <v>https://docs.wto.org/imrd/directdoc.asp?DDFDocuments/t/G/SPS/NCHN1013.DOC</v>
      </c>
      <c r="L586" s="2" t="str">
        <f>HYPERLINK("https://docs.wto.org/imrd/directdoc.asp?DDFDocuments/u/G/SPS/NCHN1013.DOC")</f>
        <v>https://docs.wto.org/imrd/directdoc.asp?DDFDocuments/u/G/SPS/NCHN1013.DOC</v>
      </c>
      <c r="M586" s="2" t="str">
        <f>HYPERLINK("https://docs.wto.org/imrd/directdoc.asp?DDFDocuments/v/G/SPS/NCHN1013.DOC")</f>
        <v>https://docs.wto.org/imrd/directdoc.asp?DDFDocuments/v/G/SPS/NCHN1013.DOC</v>
      </c>
      <c r="N586" s="2" t="str">
        <f>HYPERLINK("http://www.epingalert.org/#/details/G/SPS/N/CHN/1013")</f>
        <v>http://www.epingalert.org/#/details/G/SPS/N/CHN/1013</v>
      </c>
      <c r="O586" s="2"/>
    </row>
    <row r="587" spans="1:15" ht="240" customHeight="1" outlineLevel="1" x14ac:dyDescent="0.25">
      <c r="A587" s="2" t="s">
        <v>380</v>
      </c>
      <c r="B587" s="2" t="s">
        <v>7303</v>
      </c>
      <c r="C587" s="2" t="s">
        <v>7304</v>
      </c>
      <c r="D587" s="2" t="s">
        <v>7305</v>
      </c>
      <c r="E587" s="3">
        <v>42327</v>
      </c>
      <c r="F587" s="2" t="s">
        <v>7306</v>
      </c>
      <c r="G587" s="2" t="s">
        <v>7307</v>
      </c>
      <c r="H587" s="2" t="s">
        <v>2425</v>
      </c>
      <c r="I587" s="2" t="s">
        <v>2461</v>
      </c>
      <c r="J587" s="3">
        <v>42387</v>
      </c>
      <c r="K587" s="2" t="str">
        <f>HYPERLINK("https://docs.wto.org/imrd/directdoc.asp?DDFDocuments/t/G/SPS/NCHN1008.DOC")</f>
        <v>https://docs.wto.org/imrd/directdoc.asp?DDFDocuments/t/G/SPS/NCHN1008.DOC</v>
      </c>
      <c r="L587" s="2" t="str">
        <f>HYPERLINK("https://docs.wto.org/imrd/directdoc.asp?DDFDocuments/u/G/SPS/NCHN1008.DOC")</f>
        <v>https://docs.wto.org/imrd/directdoc.asp?DDFDocuments/u/G/SPS/NCHN1008.DOC</v>
      </c>
      <c r="M587" s="2" t="str">
        <f>HYPERLINK("https://docs.wto.org/imrd/directdoc.asp?DDFDocuments/v/G/SPS/NCHN1008.DOC")</f>
        <v>https://docs.wto.org/imrd/directdoc.asp?DDFDocuments/v/G/SPS/NCHN1008.DOC</v>
      </c>
      <c r="N587" s="2" t="str">
        <f>HYPERLINK("http://www.epingalert.org/#/details/G/SPS/N/CHN/1008")</f>
        <v>http://www.epingalert.org/#/details/G/SPS/N/CHN/1008</v>
      </c>
      <c r="O587" s="2"/>
    </row>
    <row r="588" spans="1:15" ht="240" customHeight="1" outlineLevel="1" x14ac:dyDescent="0.25">
      <c r="A588" s="2" t="s">
        <v>184</v>
      </c>
      <c r="B588" s="2" t="s">
        <v>7308</v>
      </c>
      <c r="C588" s="2" t="s">
        <v>7309</v>
      </c>
      <c r="D588" s="2" t="s">
        <v>7310</v>
      </c>
      <c r="E588" s="3">
        <v>42327</v>
      </c>
      <c r="F588" s="2" t="s">
        <v>7311</v>
      </c>
      <c r="G588" s="2" t="s">
        <v>7312</v>
      </c>
      <c r="H588" s="2" t="s">
        <v>2648</v>
      </c>
      <c r="I588" s="2" t="s">
        <v>3151</v>
      </c>
      <c r="J588" s="3">
        <v>42387</v>
      </c>
      <c r="K588" s="2" t="str">
        <f>HYPERLINK("https://docs.wto.org/imrd/directdoc.asp?DDFDocuments/t/G/SPS/NARE60.DOC")</f>
        <v>https://docs.wto.org/imrd/directdoc.asp?DDFDocuments/t/G/SPS/NARE60.DOC</v>
      </c>
      <c r="L588" s="2" t="str">
        <f>HYPERLINK("https://docs.wto.org/imrd/directdoc.asp?DDFDocuments/u/G/SPS/NARE60.DOC")</f>
        <v>https://docs.wto.org/imrd/directdoc.asp?DDFDocuments/u/G/SPS/NARE60.DOC</v>
      </c>
      <c r="M588" s="2" t="str">
        <f>HYPERLINK("https://docs.wto.org/imrd/directdoc.asp?DDFDocuments/v/G/SPS/NARE60.DOC")</f>
        <v>https://docs.wto.org/imrd/directdoc.asp?DDFDocuments/v/G/SPS/NARE60.DOC</v>
      </c>
      <c r="N588" s="2" t="str">
        <f>HYPERLINK("http://www.epingalert.org/#/details/G/SPS/N/ARE/60")</f>
        <v>http://www.epingalert.org/#/details/G/SPS/N/ARE/60</v>
      </c>
      <c r="O588" s="2"/>
    </row>
    <row r="589" spans="1:15" ht="240" customHeight="1" outlineLevel="1" x14ac:dyDescent="0.25">
      <c r="A589" s="2" t="s">
        <v>18</v>
      </c>
      <c r="B589" s="2" t="s">
        <v>3372</v>
      </c>
      <c r="C589" s="2"/>
      <c r="D589" s="2"/>
      <c r="E589" s="3">
        <v>42327</v>
      </c>
      <c r="F589" s="2" t="s">
        <v>3373</v>
      </c>
      <c r="G589" s="2" t="s">
        <v>3374</v>
      </c>
      <c r="H589" s="2" t="s">
        <v>2425</v>
      </c>
      <c r="I589" s="2" t="s">
        <v>2628</v>
      </c>
      <c r="J589" s="2"/>
      <c r="K589" s="2" t="str">
        <f>HYPERLINK("https://docs.wto.org/imrd/directdoc.asp?DDFDocuments/t/G/SPS/NUSA2502A7.DOC")</f>
        <v>https://docs.wto.org/imrd/directdoc.asp?DDFDocuments/t/G/SPS/NUSA2502A7.DOC</v>
      </c>
      <c r="L589" s="2" t="str">
        <f>HYPERLINK("https://docs.wto.org/imrd/directdoc.asp?DDFDocuments/u/G/SPS/NUSA2502A7.DOC")</f>
        <v>https://docs.wto.org/imrd/directdoc.asp?DDFDocuments/u/G/SPS/NUSA2502A7.DOC</v>
      </c>
      <c r="M589" s="2" t="str">
        <f>HYPERLINK("https://docs.wto.org/imrd/directdoc.asp?DDFDocuments/v/G/SPS/NUSA2502A7.DOC")</f>
        <v>https://docs.wto.org/imrd/directdoc.asp?DDFDocuments/v/G/SPS/NUSA2502A7.DOC</v>
      </c>
      <c r="N589" s="2" t="str">
        <f>HYPERLINK("http://www.epingalert.org/#/details/G/SPS/N/USA/2502/Add.7")</f>
        <v>http://www.epingalert.org/#/details/G/SPS/N/USA/2502/Add.7</v>
      </c>
      <c r="O589" s="2"/>
    </row>
    <row r="590" spans="1:15" ht="240" customHeight="1" outlineLevel="1" x14ac:dyDescent="0.25">
      <c r="A590" s="2" t="s">
        <v>25</v>
      </c>
      <c r="B590" s="2" t="s">
        <v>3438</v>
      </c>
      <c r="C590" s="2" t="s">
        <v>3439</v>
      </c>
      <c r="D590" s="2" t="s">
        <v>3440</v>
      </c>
      <c r="E590" s="3">
        <v>42325</v>
      </c>
      <c r="F590" s="2" t="s">
        <v>299</v>
      </c>
      <c r="G590" s="2" t="s">
        <v>2994</v>
      </c>
      <c r="H590" s="2" t="s">
        <v>2425</v>
      </c>
      <c r="I590" s="2" t="s">
        <v>2461</v>
      </c>
      <c r="J590" s="3">
        <v>42385</v>
      </c>
      <c r="K590" s="2" t="str">
        <f>HYPERLINK("https://docs.wto.org/imrd/directdoc.asp?DDFDocuments/t/G/SPS/NKOR521.DOC")</f>
        <v>https://docs.wto.org/imrd/directdoc.asp?DDFDocuments/t/G/SPS/NKOR521.DOC</v>
      </c>
      <c r="L590" s="2" t="str">
        <f>HYPERLINK("https://docs.wto.org/imrd/directdoc.asp?DDFDocuments/u/G/SPS/NKOR521.DOC")</f>
        <v>https://docs.wto.org/imrd/directdoc.asp?DDFDocuments/u/G/SPS/NKOR521.DOC</v>
      </c>
      <c r="M590" s="2" t="str">
        <f>HYPERLINK("https://docs.wto.org/imrd/directdoc.asp?DDFDocuments/v/G/SPS/NKOR521.DOC")</f>
        <v>https://docs.wto.org/imrd/directdoc.asp?DDFDocuments/v/G/SPS/NKOR521.DOC</v>
      </c>
      <c r="N590" s="2" t="str">
        <f>HYPERLINK("http://www.epingalert.org/#/details/G/SPS/N/KOR/521")</f>
        <v>http://www.epingalert.org/#/details/G/SPS/N/KOR/521</v>
      </c>
      <c r="O590" s="2"/>
    </row>
    <row r="591" spans="1:15" ht="240" customHeight="1" outlineLevel="1" x14ac:dyDescent="0.25">
      <c r="A591" s="2" t="s">
        <v>42</v>
      </c>
      <c r="B591" s="2" t="s">
        <v>3447</v>
      </c>
      <c r="C591" s="2" t="s">
        <v>3448</v>
      </c>
      <c r="D591" s="2" t="s">
        <v>3449</v>
      </c>
      <c r="E591" s="3">
        <v>42324</v>
      </c>
      <c r="F591" s="2" t="s">
        <v>3450</v>
      </c>
      <c r="G591" s="2"/>
      <c r="H591" s="2" t="s">
        <v>2425</v>
      </c>
      <c r="I591" s="2" t="s">
        <v>2453</v>
      </c>
      <c r="J591" s="3">
        <v>42349</v>
      </c>
      <c r="K591" s="2" t="str">
        <f>HYPERLINK("https://docs.wto.org/imrd/directdoc.asp?DDFDocuments/t/G/SPS/NBRA1075.DOC")</f>
        <v>https://docs.wto.org/imrd/directdoc.asp?DDFDocuments/t/G/SPS/NBRA1075.DOC</v>
      </c>
      <c r="L591" s="2" t="str">
        <f>HYPERLINK("https://docs.wto.org/imrd/directdoc.asp?DDFDocuments/u/G/SPS/NBRA1075.DOC")</f>
        <v>https://docs.wto.org/imrd/directdoc.asp?DDFDocuments/u/G/SPS/NBRA1075.DOC</v>
      </c>
      <c r="M591" s="2" t="str">
        <f>HYPERLINK("https://docs.wto.org/imrd/directdoc.asp?DDFDocuments/v/G/SPS/NBRA1075.DOC")</f>
        <v>https://docs.wto.org/imrd/directdoc.asp?DDFDocuments/v/G/SPS/NBRA1075.DOC</v>
      </c>
      <c r="N591" s="2" t="str">
        <f>HYPERLINK("http://www.epingalert.org/#/details/G/SPS/N/BRA/1075")</f>
        <v>http://www.epingalert.org/#/details/G/SPS/N/BRA/1075</v>
      </c>
      <c r="O591" s="2"/>
    </row>
    <row r="592" spans="1:15" ht="240" customHeight="1" outlineLevel="1" x14ac:dyDescent="0.25">
      <c r="A592" s="2" t="s">
        <v>42</v>
      </c>
      <c r="B592" s="2" t="s">
        <v>3451</v>
      </c>
      <c r="C592" s="2" t="s">
        <v>3452</v>
      </c>
      <c r="D592" s="2" t="s">
        <v>3453</v>
      </c>
      <c r="E592" s="3">
        <v>42324</v>
      </c>
      <c r="F592" s="2" t="s">
        <v>3454</v>
      </c>
      <c r="G592" s="2"/>
      <c r="H592" s="2" t="s">
        <v>2425</v>
      </c>
      <c r="I592" s="2" t="s">
        <v>2453</v>
      </c>
      <c r="J592" s="3">
        <v>42349</v>
      </c>
      <c r="K592" s="2" t="str">
        <f>HYPERLINK("https://docs.wto.org/imrd/directdoc.asp?DDFDocuments/t/G/SPS/NBRA1074.DOC")</f>
        <v>https://docs.wto.org/imrd/directdoc.asp?DDFDocuments/t/G/SPS/NBRA1074.DOC</v>
      </c>
      <c r="L592" s="2" t="str">
        <f>HYPERLINK("https://docs.wto.org/imrd/directdoc.asp?DDFDocuments/u/G/SPS/NBRA1074.DOC")</f>
        <v>https://docs.wto.org/imrd/directdoc.asp?DDFDocuments/u/G/SPS/NBRA1074.DOC</v>
      </c>
      <c r="M592" s="2" t="str">
        <f>HYPERLINK("https://docs.wto.org/imrd/directdoc.asp?DDFDocuments/v/G/SPS/NBRA1074.DOC")</f>
        <v>https://docs.wto.org/imrd/directdoc.asp?DDFDocuments/v/G/SPS/NBRA1074.DOC</v>
      </c>
      <c r="N592" s="2" t="str">
        <f>HYPERLINK("http://www.epingalert.org/#/details/G/SPS/N/BRA/1074")</f>
        <v>http://www.epingalert.org/#/details/G/SPS/N/BRA/1074</v>
      </c>
      <c r="O592" s="2"/>
    </row>
    <row r="593" spans="1:15" ht="240" customHeight="1" outlineLevel="1" x14ac:dyDescent="0.25">
      <c r="A593" s="2" t="s">
        <v>42</v>
      </c>
      <c r="B593" s="2" t="s">
        <v>3455</v>
      </c>
      <c r="C593" s="2" t="s">
        <v>3040</v>
      </c>
      <c r="D593" s="2" t="s">
        <v>3456</v>
      </c>
      <c r="E593" s="3">
        <v>42324</v>
      </c>
      <c r="F593" s="2" t="s">
        <v>3457</v>
      </c>
      <c r="G593" s="2"/>
      <c r="H593" s="2" t="s">
        <v>2425</v>
      </c>
      <c r="I593" s="2" t="s">
        <v>2453</v>
      </c>
      <c r="J593" s="3">
        <v>42349</v>
      </c>
      <c r="K593" s="2" t="str">
        <f>HYPERLINK("https://docs.wto.org/imrd/directdoc.asp?DDFDocuments/t/G/SPS/NBRA1073.DOC")</f>
        <v>https://docs.wto.org/imrd/directdoc.asp?DDFDocuments/t/G/SPS/NBRA1073.DOC</v>
      </c>
      <c r="L593" s="2" t="str">
        <f>HYPERLINK("https://docs.wto.org/imrd/directdoc.asp?DDFDocuments/u/G/SPS/NBRA1073.DOC")</f>
        <v>https://docs.wto.org/imrd/directdoc.asp?DDFDocuments/u/G/SPS/NBRA1073.DOC</v>
      </c>
      <c r="M593" s="2" t="str">
        <f>HYPERLINK("https://docs.wto.org/imrd/directdoc.asp?DDFDocuments/v/G/SPS/NBRA1073.DOC")</f>
        <v>https://docs.wto.org/imrd/directdoc.asp?DDFDocuments/v/G/SPS/NBRA1073.DOC</v>
      </c>
      <c r="N593" s="2" t="str">
        <f>HYPERLINK("http://www.epingalert.org/#/details/G/SPS/N/BRA/1073")</f>
        <v>http://www.epingalert.org/#/details/G/SPS/N/BRA/1073</v>
      </c>
      <c r="O593" s="2"/>
    </row>
    <row r="594" spans="1:15" ht="240" customHeight="1" outlineLevel="1" x14ac:dyDescent="0.25">
      <c r="A594" s="2" t="s">
        <v>18</v>
      </c>
      <c r="B594" s="2" t="s">
        <v>3441</v>
      </c>
      <c r="C594" s="2"/>
      <c r="D594" s="2"/>
      <c r="E594" s="3">
        <v>42324</v>
      </c>
      <c r="F594" s="2" t="s">
        <v>3442</v>
      </c>
      <c r="G594" s="2" t="s">
        <v>3443</v>
      </c>
      <c r="H594" s="2" t="s">
        <v>2425</v>
      </c>
      <c r="I594" s="2" t="s">
        <v>2444</v>
      </c>
      <c r="J594" s="2"/>
      <c r="K594" s="2" t="str">
        <f>HYPERLINK("https://docs.wto.org/imrd/directdoc.asp?DDFDocuments/t/G/SPS/NUSA2570A4.DOC")</f>
        <v>https://docs.wto.org/imrd/directdoc.asp?DDFDocuments/t/G/SPS/NUSA2570A4.DOC</v>
      </c>
      <c r="L594" s="2" t="str">
        <f>HYPERLINK("https://docs.wto.org/imrd/directdoc.asp?DDFDocuments/u/G/SPS/NUSA2570A4.DOC")</f>
        <v>https://docs.wto.org/imrd/directdoc.asp?DDFDocuments/u/G/SPS/NUSA2570A4.DOC</v>
      </c>
      <c r="M594" s="2" t="str">
        <f>HYPERLINK("https://docs.wto.org/imrd/directdoc.asp?DDFDocuments/v/G/SPS/NUSA2570A4.DOC")</f>
        <v>https://docs.wto.org/imrd/directdoc.asp?DDFDocuments/v/G/SPS/NUSA2570A4.DOC</v>
      </c>
      <c r="N594" s="2" t="str">
        <f>HYPERLINK("http://www.epingalert.org/#/details/G/SPS/N/USA/2570/Add.4")</f>
        <v>http://www.epingalert.org/#/details/G/SPS/N/USA/2570/Add.4</v>
      </c>
      <c r="O594" s="2"/>
    </row>
    <row r="595" spans="1:15" ht="240" customHeight="1" outlineLevel="1" x14ac:dyDescent="0.25">
      <c r="A595" s="2" t="s">
        <v>18</v>
      </c>
      <c r="B595" s="2" t="s">
        <v>3444</v>
      </c>
      <c r="C595" s="2"/>
      <c r="D595" s="2"/>
      <c r="E595" s="3">
        <v>42324</v>
      </c>
      <c r="F595" s="2" t="s">
        <v>3445</v>
      </c>
      <c r="G595" s="2" t="s">
        <v>3446</v>
      </c>
      <c r="H595" s="2" t="s">
        <v>2425</v>
      </c>
      <c r="I595" s="2" t="s">
        <v>2444</v>
      </c>
      <c r="J595" s="2"/>
      <c r="K595" s="2" t="str">
        <f>HYPERLINK("https://docs.wto.org/imrd/directdoc.asp?DDFDocuments/t/G/SPS/NUSA2569A3.DOC")</f>
        <v>https://docs.wto.org/imrd/directdoc.asp?DDFDocuments/t/G/SPS/NUSA2569A3.DOC</v>
      </c>
      <c r="L595" s="2" t="str">
        <f>HYPERLINK("https://docs.wto.org/imrd/directdoc.asp?DDFDocuments/u/G/SPS/NUSA2569A3.DOC")</f>
        <v>https://docs.wto.org/imrd/directdoc.asp?DDFDocuments/u/G/SPS/NUSA2569A3.DOC</v>
      </c>
      <c r="M595" s="2" t="str">
        <f>HYPERLINK("https://docs.wto.org/imrd/directdoc.asp?DDFDocuments/v/G/SPS/NUSA2569A3.DOC")</f>
        <v>https://docs.wto.org/imrd/directdoc.asp?DDFDocuments/v/G/SPS/NUSA2569A3.DOC</v>
      </c>
      <c r="N595" s="2" t="str">
        <f>HYPERLINK("http://www.epingalert.org/#/details/G/SPS/N/USA/2569/Add.3")</f>
        <v>http://www.epingalert.org/#/details/G/SPS/N/USA/2569/Add.3</v>
      </c>
      <c r="O595" s="2"/>
    </row>
    <row r="596" spans="1:15" ht="240" customHeight="1" outlineLevel="1" x14ac:dyDescent="0.25">
      <c r="A596" s="2" t="s">
        <v>1042</v>
      </c>
      <c r="B596" s="2" t="s">
        <v>7313</v>
      </c>
      <c r="C596" s="2"/>
      <c r="D596" s="2"/>
      <c r="E596" s="3">
        <v>42324</v>
      </c>
      <c r="F596" s="2" t="s">
        <v>7005</v>
      </c>
      <c r="G596" s="2" t="s">
        <v>7033</v>
      </c>
      <c r="H596" s="2" t="s">
        <v>2467</v>
      </c>
      <c r="I596" s="2" t="s">
        <v>7034</v>
      </c>
      <c r="J596" s="2"/>
      <c r="K596" s="2" t="str">
        <f>HYPERLINK("https://docs.wto.org/imrd/directdoc.asp?DDFDocuments/t/G/SPS/NPHL284A1.DOC")</f>
        <v>https://docs.wto.org/imrd/directdoc.asp?DDFDocuments/t/G/SPS/NPHL284A1.DOC</v>
      </c>
      <c r="L596" s="2" t="str">
        <f>HYPERLINK("https://docs.wto.org/imrd/directdoc.asp?DDFDocuments/u/G/SPS/NPHL284A1.DOC")</f>
        <v>https://docs.wto.org/imrd/directdoc.asp?DDFDocuments/u/G/SPS/NPHL284A1.DOC</v>
      </c>
      <c r="M596" s="2" t="str">
        <f>HYPERLINK("https://docs.wto.org/imrd/directdoc.asp?DDFDocuments/v/G/SPS/NPHL284A1.DOC")</f>
        <v>https://docs.wto.org/imrd/directdoc.asp?DDFDocuments/v/G/SPS/NPHL284A1.DOC</v>
      </c>
      <c r="N596" s="2" t="str">
        <f>HYPERLINK("http://www.epingalert.org/#/details/G/SPS/N/PHL/284/Add.1")</f>
        <v>http://www.epingalert.org/#/details/G/SPS/N/PHL/284/Add.1</v>
      </c>
      <c r="O596" s="2"/>
    </row>
    <row r="597" spans="1:15" ht="240" customHeight="1" outlineLevel="1" x14ac:dyDescent="0.25">
      <c r="A597" s="2" t="s">
        <v>1042</v>
      </c>
      <c r="B597" s="2" t="s">
        <v>7314</v>
      </c>
      <c r="C597" s="2"/>
      <c r="D597" s="2"/>
      <c r="E597" s="3">
        <v>42324</v>
      </c>
      <c r="F597" s="2" t="s">
        <v>7005</v>
      </c>
      <c r="G597" s="2" t="s">
        <v>7220</v>
      </c>
      <c r="H597" s="2" t="s">
        <v>2467</v>
      </c>
      <c r="I597" s="2" t="s">
        <v>7034</v>
      </c>
      <c r="J597" s="2"/>
      <c r="K597" s="2" t="str">
        <f>HYPERLINK("https://docs.wto.org/imrd/directdoc.asp?DDFDocuments/t/G/SPS/NPHL299A1.DOC")</f>
        <v>https://docs.wto.org/imrd/directdoc.asp?DDFDocuments/t/G/SPS/NPHL299A1.DOC</v>
      </c>
      <c r="L597" s="2" t="str">
        <f>HYPERLINK("https://docs.wto.org/imrd/directdoc.asp?DDFDocuments/u/G/SPS/NPHL299A1.DOC")</f>
        <v>https://docs.wto.org/imrd/directdoc.asp?DDFDocuments/u/G/SPS/NPHL299A1.DOC</v>
      </c>
      <c r="M597" s="2" t="str">
        <f>HYPERLINK("https://docs.wto.org/imrd/directdoc.asp?DDFDocuments/v/G/SPS/NPHL299A1.DOC")</f>
        <v>https://docs.wto.org/imrd/directdoc.asp?DDFDocuments/v/G/SPS/NPHL299A1.DOC</v>
      </c>
      <c r="N597" s="2" t="str">
        <f>HYPERLINK("http://www.epingalert.org/#/details/G/SPS/N/PHL/299/Add.1")</f>
        <v>http://www.epingalert.org/#/details/G/SPS/N/PHL/299/Add.1</v>
      </c>
      <c r="O597" s="2"/>
    </row>
    <row r="598" spans="1:15" ht="240" customHeight="1" outlineLevel="1" x14ac:dyDescent="0.25">
      <c r="A598" s="2" t="s">
        <v>115</v>
      </c>
      <c r="B598" s="2" t="s">
        <v>7315</v>
      </c>
      <c r="C598" s="2" t="s">
        <v>6754</v>
      </c>
      <c r="D598" s="2" t="s">
        <v>7316</v>
      </c>
      <c r="E598" s="3">
        <v>42321</v>
      </c>
      <c r="F598" s="2" t="s">
        <v>7317</v>
      </c>
      <c r="G598" s="2" t="s">
        <v>7318</v>
      </c>
      <c r="H598" s="2" t="s">
        <v>2425</v>
      </c>
      <c r="I598" s="2" t="s">
        <v>2453</v>
      </c>
      <c r="J598" s="3">
        <v>42381</v>
      </c>
      <c r="K598" s="2" t="str">
        <f>HYPERLINK("https://docs.wto.org/imrd/directdoc.asp?DDFDocuments/t/G/SPS/NJPN433.DOC")</f>
        <v>https://docs.wto.org/imrd/directdoc.asp?DDFDocuments/t/G/SPS/NJPN433.DOC</v>
      </c>
      <c r="L598" s="2" t="str">
        <f>HYPERLINK("https://docs.wto.org/imrd/directdoc.asp?DDFDocuments/u/G/SPS/NJPN433.DOC")</f>
        <v>https://docs.wto.org/imrd/directdoc.asp?DDFDocuments/u/G/SPS/NJPN433.DOC</v>
      </c>
      <c r="M598" s="2" t="str">
        <f>HYPERLINK("https://docs.wto.org/imrd/directdoc.asp?DDFDocuments/v/G/SPS/NJPN433.DOC")</f>
        <v>https://docs.wto.org/imrd/directdoc.asp?DDFDocuments/v/G/SPS/NJPN433.DOC</v>
      </c>
      <c r="N598" s="2" t="str">
        <f>HYPERLINK("http://www.epingalert.org/#/details/G/SPS/N/JPN/433")</f>
        <v>http://www.epingalert.org/#/details/G/SPS/N/JPN/433</v>
      </c>
      <c r="O598" s="2"/>
    </row>
    <row r="599" spans="1:15" ht="240" customHeight="1" outlineLevel="1" x14ac:dyDescent="0.25">
      <c r="A599" s="2" t="s">
        <v>115</v>
      </c>
      <c r="B599" s="2" t="s">
        <v>7319</v>
      </c>
      <c r="C599" s="2" t="s">
        <v>6754</v>
      </c>
      <c r="D599" s="2" t="s">
        <v>7320</v>
      </c>
      <c r="E599" s="3">
        <v>42321</v>
      </c>
      <c r="F599" s="2" t="s">
        <v>7046</v>
      </c>
      <c r="G599" s="2" t="s">
        <v>7321</v>
      </c>
      <c r="H599" s="2" t="s">
        <v>2425</v>
      </c>
      <c r="I599" s="2" t="s">
        <v>2453</v>
      </c>
      <c r="J599" s="3">
        <v>42381</v>
      </c>
      <c r="K599" s="2" t="str">
        <f>HYPERLINK("https://docs.wto.org/imrd/directdoc.asp?DDFDocuments/t/G/SPS/NJPN432.DOC")</f>
        <v>https://docs.wto.org/imrd/directdoc.asp?DDFDocuments/t/G/SPS/NJPN432.DOC</v>
      </c>
      <c r="L599" s="2" t="str">
        <f>HYPERLINK("https://docs.wto.org/imrd/directdoc.asp?DDFDocuments/u/G/SPS/NJPN432.DOC")</f>
        <v>https://docs.wto.org/imrd/directdoc.asp?DDFDocuments/u/G/SPS/NJPN432.DOC</v>
      </c>
      <c r="M599" s="2" t="str">
        <f>HYPERLINK("https://docs.wto.org/imrd/directdoc.asp?DDFDocuments/v/G/SPS/NJPN432.DOC")</f>
        <v>https://docs.wto.org/imrd/directdoc.asp?DDFDocuments/v/G/SPS/NJPN432.DOC</v>
      </c>
      <c r="N599" s="2" t="str">
        <f>HYPERLINK("http://www.epingalert.org/#/details/G/SPS/N/JPN/432")</f>
        <v>http://www.epingalert.org/#/details/G/SPS/N/JPN/432</v>
      </c>
      <c r="O599" s="2"/>
    </row>
    <row r="600" spans="1:15" ht="240" customHeight="1" outlineLevel="1" x14ac:dyDescent="0.25">
      <c r="A600" s="2" t="s">
        <v>115</v>
      </c>
      <c r="B600" s="2" t="s">
        <v>7322</v>
      </c>
      <c r="C600" s="2" t="s">
        <v>6754</v>
      </c>
      <c r="D600" s="2" t="s">
        <v>7323</v>
      </c>
      <c r="E600" s="3">
        <v>42321</v>
      </c>
      <c r="F600" s="2" t="s">
        <v>7324</v>
      </c>
      <c r="G600" s="2" t="s">
        <v>7325</v>
      </c>
      <c r="H600" s="2" t="s">
        <v>2425</v>
      </c>
      <c r="I600" s="2" t="s">
        <v>2453</v>
      </c>
      <c r="J600" s="3">
        <v>42381</v>
      </c>
      <c r="K600" s="2" t="str">
        <f>HYPERLINK("https://docs.wto.org/imrd/directdoc.asp?DDFDocuments/t/G/SPS/NJPN431.DOC")</f>
        <v>https://docs.wto.org/imrd/directdoc.asp?DDFDocuments/t/G/SPS/NJPN431.DOC</v>
      </c>
      <c r="L600" s="2" t="str">
        <f>HYPERLINK("https://docs.wto.org/imrd/directdoc.asp?DDFDocuments/u/G/SPS/NJPN431.DOC")</f>
        <v>https://docs.wto.org/imrd/directdoc.asp?DDFDocuments/u/G/SPS/NJPN431.DOC</v>
      </c>
      <c r="M600" s="2" t="str">
        <f>HYPERLINK("https://docs.wto.org/imrd/directdoc.asp?DDFDocuments/v/G/SPS/NJPN431.DOC")</f>
        <v>https://docs.wto.org/imrd/directdoc.asp?DDFDocuments/v/G/SPS/NJPN431.DOC</v>
      </c>
      <c r="N600" s="2" t="str">
        <f>HYPERLINK("http://www.epingalert.org/#/details/G/SPS/N/JPN/431")</f>
        <v>http://www.epingalert.org/#/details/G/SPS/N/JPN/431</v>
      </c>
      <c r="O600" s="2"/>
    </row>
    <row r="601" spans="1:15" ht="240" customHeight="1" outlineLevel="1" x14ac:dyDescent="0.25">
      <c r="A601" s="2" t="s">
        <v>115</v>
      </c>
      <c r="B601" s="2" t="s">
        <v>7326</v>
      </c>
      <c r="C601" s="2" t="s">
        <v>6754</v>
      </c>
      <c r="D601" s="2" t="s">
        <v>7327</v>
      </c>
      <c r="E601" s="3">
        <v>42321</v>
      </c>
      <c r="F601" s="2" t="s">
        <v>7328</v>
      </c>
      <c r="G601" s="2" t="s">
        <v>7329</v>
      </c>
      <c r="H601" s="2" t="s">
        <v>2425</v>
      </c>
      <c r="I601" s="2" t="s">
        <v>2453</v>
      </c>
      <c r="J601" s="3">
        <v>42381</v>
      </c>
      <c r="K601" s="2" t="str">
        <f>HYPERLINK("https://docs.wto.org/imrd/directdoc.asp?DDFDocuments/t/G/SPS/NJPN430.DOC")</f>
        <v>https://docs.wto.org/imrd/directdoc.asp?DDFDocuments/t/G/SPS/NJPN430.DOC</v>
      </c>
      <c r="L601" s="2" t="str">
        <f>HYPERLINK("https://docs.wto.org/imrd/directdoc.asp?DDFDocuments/u/G/SPS/NJPN430.DOC")</f>
        <v>https://docs.wto.org/imrd/directdoc.asp?DDFDocuments/u/G/SPS/NJPN430.DOC</v>
      </c>
      <c r="M601" s="2" t="str">
        <f>HYPERLINK("https://docs.wto.org/imrd/directdoc.asp?DDFDocuments/v/G/SPS/NJPN430.DOC")</f>
        <v>https://docs.wto.org/imrd/directdoc.asp?DDFDocuments/v/G/SPS/NJPN430.DOC</v>
      </c>
      <c r="N601" s="2" t="str">
        <f>HYPERLINK("http://www.epingalert.org/#/details/G/SPS/N/JPN/430")</f>
        <v>http://www.epingalert.org/#/details/G/SPS/N/JPN/430</v>
      </c>
      <c r="O601" s="2"/>
    </row>
    <row r="602" spans="1:15" ht="240" customHeight="1" outlineLevel="1" x14ac:dyDescent="0.25">
      <c r="A602" s="2" t="s">
        <v>37</v>
      </c>
      <c r="B602" s="2" t="s">
        <v>7330</v>
      </c>
      <c r="C602" s="2" t="s">
        <v>7331</v>
      </c>
      <c r="D602" s="2" t="s">
        <v>7332</v>
      </c>
      <c r="E602" s="3">
        <v>42320</v>
      </c>
      <c r="F602" s="2" t="s">
        <v>7333</v>
      </c>
      <c r="G602" s="2" t="s">
        <v>7334</v>
      </c>
      <c r="H602" s="2" t="s">
        <v>2425</v>
      </c>
      <c r="I602" s="2" t="s">
        <v>2425</v>
      </c>
      <c r="J602" s="3">
        <v>42339</v>
      </c>
      <c r="K602" s="2" t="str">
        <f>HYPERLINK("https://docs.wto.org/imrd/directdoc.asp?DDFDocuments/t/G/SPS/NTUR66.DOC")</f>
        <v>https://docs.wto.org/imrd/directdoc.asp?DDFDocuments/t/G/SPS/NTUR66.DOC</v>
      </c>
      <c r="L602" s="2" t="str">
        <f>HYPERLINK("https://docs.wto.org/imrd/directdoc.asp?DDFDocuments/u/G/SPS/NTUR66.DOC")</f>
        <v>https://docs.wto.org/imrd/directdoc.asp?DDFDocuments/u/G/SPS/NTUR66.DOC</v>
      </c>
      <c r="M602" s="2" t="str">
        <f>HYPERLINK("https://docs.wto.org/imrd/directdoc.asp?DDFDocuments/v/G/SPS/NTUR66.DOC")</f>
        <v>https://docs.wto.org/imrd/directdoc.asp?DDFDocuments/v/G/SPS/NTUR66.DOC</v>
      </c>
      <c r="N602" s="2" t="str">
        <f>HYPERLINK("http://www.epingalert.org/#/details/G/SPS/N/TUR/66")</f>
        <v>http://www.epingalert.org/#/details/G/SPS/N/TUR/66</v>
      </c>
      <c r="O602" s="2"/>
    </row>
    <row r="603" spans="1:15" ht="240" customHeight="1" outlineLevel="1" x14ac:dyDescent="0.25">
      <c r="A603" s="2" t="s">
        <v>185</v>
      </c>
      <c r="B603" s="2" t="s">
        <v>7335</v>
      </c>
      <c r="C603" s="2"/>
      <c r="D603" s="2"/>
      <c r="E603" s="3">
        <v>42319</v>
      </c>
      <c r="F603" s="2" t="s">
        <v>7336</v>
      </c>
      <c r="G603" s="2" t="s">
        <v>2248</v>
      </c>
      <c r="H603" s="2" t="s">
        <v>2425</v>
      </c>
      <c r="I603" s="2" t="s">
        <v>2672</v>
      </c>
      <c r="J603" s="3">
        <v>42320</v>
      </c>
      <c r="K603" s="2" t="str">
        <f>HYPERLINK("https://docs.wto.org/imrd/directdoc.asp?DDFDocuments/t/G/SPS/NEGY66A1.DOC")</f>
        <v>https://docs.wto.org/imrd/directdoc.asp?DDFDocuments/t/G/SPS/NEGY66A1.DOC</v>
      </c>
      <c r="L603" s="2" t="str">
        <f>HYPERLINK("https://docs.wto.org/imrd/directdoc.asp?DDFDocuments/u/G/SPS/NEGY66A1.DOC")</f>
        <v>https://docs.wto.org/imrd/directdoc.asp?DDFDocuments/u/G/SPS/NEGY66A1.DOC</v>
      </c>
      <c r="M603" s="2" t="str">
        <f>HYPERLINK("https://docs.wto.org/imrd/directdoc.asp?DDFDocuments/v/G/SPS/NEGY66A1.DOC")</f>
        <v>https://docs.wto.org/imrd/directdoc.asp?DDFDocuments/v/G/SPS/NEGY66A1.DOC</v>
      </c>
      <c r="N603" s="2" t="str">
        <f>HYPERLINK("http://www.epingalert.org/#/details/G/SPS/N/EGY/66/Add.1")</f>
        <v>http://www.epingalert.org/#/details/G/SPS/N/EGY/66/Add.1</v>
      </c>
      <c r="O603" s="2"/>
    </row>
    <row r="604" spans="1:15" ht="240" customHeight="1" outlineLevel="1" x14ac:dyDescent="0.25">
      <c r="A604" s="2" t="s">
        <v>37</v>
      </c>
      <c r="B604" s="2" t="s">
        <v>3458</v>
      </c>
      <c r="C604" s="2" t="s">
        <v>3459</v>
      </c>
      <c r="D604" s="2" t="s">
        <v>3460</v>
      </c>
      <c r="E604" s="3">
        <v>42319</v>
      </c>
      <c r="F604" s="2" t="s">
        <v>541</v>
      </c>
      <c r="G604" s="2" t="s">
        <v>3245</v>
      </c>
      <c r="H604" s="2" t="s">
        <v>2425</v>
      </c>
      <c r="I604" s="2" t="s">
        <v>3461</v>
      </c>
      <c r="J604" s="2"/>
      <c r="K604" s="2" t="str">
        <f>HYPERLINK("https://docs.wto.org/imrd/directdoc.asp?DDFDocuments/t/G/SPS/NTUR65.DOC")</f>
        <v>https://docs.wto.org/imrd/directdoc.asp?DDFDocuments/t/G/SPS/NTUR65.DOC</v>
      </c>
      <c r="L604" s="2" t="str">
        <f>HYPERLINK("https://docs.wto.org/imrd/directdoc.asp?DDFDocuments/u/G/SPS/NTUR65.DOC")</f>
        <v>https://docs.wto.org/imrd/directdoc.asp?DDFDocuments/u/G/SPS/NTUR65.DOC</v>
      </c>
      <c r="M604" s="2" t="str">
        <f>HYPERLINK("https://docs.wto.org/imrd/directdoc.asp?DDFDocuments/v/G/SPS/NTUR65.DOC")</f>
        <v>https://docs.wto.org/imrd/directdoc.asp?DDFDocuments/v/G/SPS/NTUR65.DOC</v>
      </c>
      <c r="N604" s="2" t="str">
        <f>HYPERLINK("http://www.epingalert.org/#/details/G/SPS/N/TUR/65")</f>
        <v>http://www.epingalert.org/#/details/G/SPS/N/TUR/65</v>
      </c>
      <c r="O604" s="2"/>
    </row>
    <row r="605" spans="1:15" ht="240" customHeight="1" outlineLevel="1" x14ac:dyDescent="0.25">
      <c r="A605" s="2" t="s">
        <v>2846</v>
      </c>
      <c r="B605" s="2" t="s">
        <v>7337</v>
      </c>
      <c r="C605" s="2" t="s">
        <v>7338</v>
      </c>
      <c r="D605" s="2" t="s">
        <v>7339</v>
      </c>
      <c r="E605" s="3">
        <v>42318</v>
      </c>
      <c r="F605" s="2" t="s">
        <v>7340</v>
      </c>
      <c r="G605" s="2" t="s">
        <v>2790</v>
      </c>
      <c r="H605" s="2" t="s">
        <v>2425</v>
      </c>
      <c r="I605" s="2" t="s">
        <v>2548</v>
      </c>
      <c r="J605" s="2"/>
      <c r="K605" s="2" t="str">
        <f>HYPERLINK("https://docs.wto.org/imrd/directdoc.asp?DDFDocuments/t/G/SPS/NMAC16.DOC")</f>
        <v>https://docs.wto.org/imrd/directdoc.asp?DDFDocuments/t/G/SPS/NMAC16.DOC</v>
      </c>
      <c r="L605" s="2" t="str">
        <f>HYPERLINK("https://docs.wto.org/imrd/directdoc.asp?DDFDocuments/u/G/SPS/NMAC16.DOC")</f>
        <v>https://docs.wto.org/imrd/directdoc.asp?DDFDocuments/u/G/SPS/NMAC16.DOC</v>
      </c>
      <c r="M605" s="2" t="str">
        <f>HYPERLINK("https://docs.wto.org/imrd/directdoc.asp?DDFDocuments/v/G/SPS/NMAC16.DOC")</f>
        <v>https://docs.wto.org/imrd/directdoc.asp?DDFDocuments/v/G/SPS/NMAC16.DOC</v>
      </c>
      <c r="N605" s="2" t="str">
        <f>HYPERLINK("http://www.epingalert.org/#/details/G/SPS/N/MAC/16")</f>
        <v>http://www.epingalert.org/#/details/G/SPS/N/MAC/16</v>
      </c>
      <c r="O605" s="2"/>
    </row>
    <row r="606" spans="1:15" ht="240" customHeight="1" outlineLevel="1" x14ac:dyDescent="0.25">
      <c r="A606" s="2" t="s">
        <v>225</v>
      </c>
      <c r="B606" s="2" t="s">
        <v>3468</v>
      </c>
      <c r="C606" s="2" t="s">
        <v>3469</v>
      </c>
      <c r="D606" s="2" t="s">
        <v>2494</v>
      </c>
      <c r="E606" s="3">
        <v>42313</v>
      </c>
      <c r="F606" s="2" t="s">
        <v>2430</v>
      </c>
      <c r="G606" s="2"/>
      <c r="H606" s="2" t="s">
        <v>2425</v>
      </c>
      <c r="I606" s="2" t="s">
        <v>2431</v>
      </c>
      <c r="J606" s="3">
        <v>42389</v>
      </c>
      <c r="K606" s="2" t="str">
        <f>HYPERLINK("https://docs.wto.org/imrd/directdoc.asp?DDFDocuments/t/G/SPS/NAUS374.DOC")</f>
        <v>https://docs.wto.org/imrd/directdoc.asp?DDFDocuments/t/G/SPS/NAUS374.DOC</v>
      </c>
      <c r="L606" s="2" t="str">
        <f>HYPERLINK("https://docs.wto.org/imrd/directdoc.asp?DDFDocuments/u/G/SPS/NAUS374.DOC")</f>
        <v>https://docs.wto.org/imrd/directdoc.asp?DDFDocuments/u/G/SPS/NAUS374.DOC</v>
      </c>
      <c r="M606" s="2" t="str">
        <f>HYPERLINK("https://docs.wto.org/imrd/directdoc.asp?DDFDocuments/v/G/SPS/NAUS374.DOC")</f>
        <v>https://docs.wto.org/imrd/directdoc.asp?DDFDocuments/v/G/SPS/NAUS374.DOC</v>
      </c>
      <c r="N606" s="2" t="str">
        <f>HYPERLINK("http://www.epingalert.org/#/details/G/SPS/N/AUS/374")</f>
        <v>http://www.epingalert.org/#/details/G/SPS/N/AUS/374</v>
      </c>
      <c r="O606" s="2"/>
    </row>
    <row r="607" spans="1:15" ht="240" customHeight="1" outlineLevel="1" x14ac:dyDescent="0.25">
      <c r="A607" s="2" t="s">
        <v>37</v>
      </c>
      <c r="B607" s="2" t="s">
        <v>3464</v>
      </c>
      <c r="C607" s="2" t="s">
        <v>3465</v>
      </c>
      <c r="D607" s="8" t="s">
        <v>3466</v>
      </c>
      <c r="E607" s="3">
        <v>42313</v>
      </c>
      <c r="F607" s="2" t="s">
        <v>3467</v>
      </c>
      <c r="G607" s="2" t="s">
        <v>2596</v>
      </c>
      <c r="H607" s="2" t="s">
        <v>2425</v>
      </c>
      <c r="I607" s="2" t="s">
        <v>2597</v>
      </c>
      <c r="J607" s="3">
        <v>42373</v>
      </c>
      <c r="K607" s="2" t="str">
        <f>HYPERLINK("https://docs.wto.org/imrd/directdoc.asp?DDFDocuments/t/G/SPS/NTUR64.DOC")</f>
        <v>https://docs.wto.org/imrd/directdoc.asp?DDFDocuments/t/G/SPS/NTUR64.DOC</v>
      </c>
      <c r="L607" s="2" t="str">
        <f>HYPERLINK("https://docs.wto.org/imrd/directdoc.asp?DDFDocuments/u/G/SPS/NTUR64.DOC")</f>
        <v>https://docs.wto.org/imrd/directdoc.asp?DDFDocuments/u/G/SPS/NTUR64.DOC</v>
      </c>
      <c r="M607" s="2" t="str">
        <f>HYPERLINK("https://docs.wto.org/imrd/directdoc.asp?DDFDocuments/v/G/SPS/NTUR64.DOC")</f>
        <v>https://docs.wto.org/imrd/directdoc.asp?DDFDocuments/v/G/SPS/NTUR64.DOC</v>
      </c>
      <c r="N607" s="2" t="str">
        <f>HYPERLINK("http://www.epingalert.org/#/details/G/SPS/N/TUR/64")</f>
        <v>http://www.epingalert.org/#/details/G/SPS/N/TUR/64</v>
      </c>
      <c r="O607" s="2" t="s">
        <v>8884</v>
      </c>
    </row>
    <row r="608" spans="1:15" ht="240" customHeight="1" outlineLevel="1" x14ac:dyDescent="0.25">
      <c r="A608" s="2" t="s">
        <v>646</v>
      </c>
      <c r="B608" s="2" t="s">
        <v>7344</v>
      </c>
      <c r="C608" s="2" t="s">
        <v>7345</v>
      </c>
      <c r="D608" s="2" t="e">
        <f>- Classification  definition for Liquid milk products - food safety _xlnm.Criteria for Liquid milk products</f>
        <v>#NAME?</v>
      </c>
      <c r="E608" s="3">
        <v>42313</v>
      </c>
      <c r="F608" s="2" t="s">
        <v>7346</v>
      </c>
      <c r="G608" s="2" t="s">
        <v>3281</v>
      </c>
      <c r="H608" s="2" t="s">
        <v>2425</v>
      </c>
      <c r="I608" s="2" t="s">
        <v>2461</v>
      </c>
      <c r="J608" s="3">
        <v>42373</v>
      </c>
      <c r="K608" s="2" t="str">
        <f>HYPERLINK("https://docs.wto.org/imrd/directdoc.asp?DDFDocuments/t/G/SPS/NVNM72.DOC")</f>
        <v>https://docs.wto.org/imrd/directdoc.asp?DDFDocuments/t/G/SPS/NVNM72.DOC</v>
      </c>
      <c r="L608" s="2" t="str">
        <f>HYPERLINK("https://docs.wto.org/imrd/directdoc.asp?DDFDocuments/u/G/SPS/NVNM72.DOC")</f>
        <v>https://docs.wto.org/imrd/directdoc.asp?DDFDocuments/u/G/SPS/NVNM72.DOC</v>
      </c>
      <c r="M608" s="2" t="str">
        <f>HYPERLINK("https://docs.wto.org/imrd/directdoc.asp?DDFDocuments/v/G/SPS/NVNM72.DOC")</f>
        <v>https://docs.wto.org/imrd/directdoc.asp?DDFDocuments/v/G/SPS/NVNM72.DOC</v>
      </c>
      <c r="N608" s="2" t="str">
        <f>HYPERLINK("http://www.epingalert.org/#/details/G/SPS/N/VNM/72")</f>
        <v>http://www.epingalert.org/#/details/G/SPS/N/VNM/72</v>
      </c>
      <c r="O608" s="2"/>
    </row>
    <row r="609" spans="1:15" ht="240" customHeight="1" outlineLevel="1" x14ac:dyDescent="0.25">
      <c r="A609" s="2" t="s">
        <v>225</v>
      </c>
      <c r="B609" s="2" t="s">
        <v>3462</v>
      </c>
      <c r="C609" s="2"/>
      <c r="D609" s="2"/>
      <c r="E609" s="3">
        <v>42313</v>
      </c>
      <c r="F609" s="2" t="s">
        <v>3463</v>
      </c>
      <c r="G609" s="2"/>
      <c r="H609" s="2" t="s">
        <v>2425</v>
      </c>
      <c r="I609" s="2" t="s">
        <v>2431</v>
      </c>
      <c r="J609" s="2"/>
      <c r="K609" s="2" t="str">
        <f>HYPERLINK("https://docs.wto.org/imrd/directdoc.asp?DDFDocuments/t/G/SPS/NAUS373C1.DOC")</f>
        <v>https://docs.wto.org/imrd/directdoc.asp?DDFDocuments/t/G/SPS/NAUS373C1.DOC</v>
      </c>
      <c r="L609" s="2" t="str">
        <f>HYPERLINK("https://docs.wto.org/imrd/directdoc.asp?DDFDocuments/u/G/SPS/NAUS373C1.DOC")</f>
        <v>https://docs.wto.org/imrd/directdoc.asp?DDFDocuments/u/G/SPS/NAUS373C1.DOC</v>
      </c>
      <c r="M609" s="2" t="str">
        <f>HYPERLINK("https://docs.wto.org/imrd/directdoc.asp?DDFDocuments/v/G/SPS/NAUS373C1.DOC")</f>
        <v>https://docs.wto.org/imrd/directdoc.asp?DDFDocuments/v/G/SPS/NAUS373C1.DOC</v>
      </c>
      <c r="N609" s="2" t="str">
        <f>HYPERLINK("http://www.epingalert.org/#/details/G/SPS/N/AUS/373/Corr.1")</f>
        <v>http://www.epingalert.org/#/details/G/SPS/N/AUS/373/Corr.1</v>
      </c>
      <c r="O609" s="2"/>
    </row>
    <row r="610" spans="1:15" ht="240" customHeight="1" outlineLevel="1" x14ac:dyDescent="0.25">
      <c r="A610" s="2" t="s">
        <v>1042</v>
      </c>
      <c r="B610" s="2" t="s">
        <v>7341</v>
      </c>
      <c r="C610" s="2"/>
      <c r="D610" s="2"/>
      <c r="E610" s="3">
        <v>42313</v>
      </c>
      <c r="F610" s="2" t="s">
        <v>7005</v>
      </c>
      <c r="G610" s="2" t="s">
        <v>7218</v>
      </c>
      <c r="H610" s="2" t="s">
        <v>2467</v>
      </c>
      <c r="I610" s="2" t="s">
        <v>7034</v>
      </c>
      <c r="J610" s="2"/>
      <c r="K610" s="2" t="str">
        <f>HYPERLINK("https://docs.wto.org/imrd/directdoc.asp?DDFDocuments/t/G/SPS/NPHL300A1.DOC")</f>
        <v>https://docs.wto.org/imrd/directdoc.asp?DDFDocuments/t/G/SPS/NPHL300A1.DOC</v>
      </c>
      <c r="L610" s="2" t="str">
        <f>HYPERLINK("https://docs.wto.org/imrd/directdoc.asp?DDFDocuments/u/G/SPS/NPHL300A1.DOC")</f>
        <v>https://docs.wto.org/imrd/directdoc.asp?DDFDocuments/u/G/SPS/NPHL300A1.DOC</v>
      </c>
      <c r="M610" s="2" t="str">
        <f>HYPERLINK("https://docs.wto.org/imrd/directdoc.asp?DDFDocuments/v/G/SPS/NPHL300A1.DOC")</f>
        <v>https://docs.wto.org/imrd/directdoc.asp?DDFDocuments/v/G/SPS/NPHL300A1.DOC</v>
      </c>
      <c r="N610" s="2" t="str">
        <f>HYPERLINK("http://www.epingalert.org/#/details/G/SPS/N/PHL/300/Add.1")</f>
        <v>http://www.epingalert.org/#/details/G/SPS/N/PHL/300/Add.1</v>
      </c>
      <c r="O610" s="2"/>
    </row>
    <row r="611" spans="1:15" ht="240" customHeight="1" outlineLevel="1" x14ac:dyDescent="0.25">
      <c r="A611" s="2" t="s">
        <v>1042</v>
      </c>
      <c r="B611" s="2" t="s">
        <v>7342</v>
      </c>
      <c r="C611" s="2"/>
      <c r="D611" s="2"/>
      <c r="E611" s="3">
        <v>42313</v>
      </c>
      <c r="F611" s="2" t="s">
        <v>7005</v>
      </c>
      <c r="G611" s="2" t="s">
        <v>7343</v>
      </c>
      <c r="H611" s="2"/>
      <c r="I611" s="2" t="s">
        <v>7034</v>
      </c>
      <c r="J611" s="2"/>
      <c r="K611" s="2" t="str">
        <f>HYPERLINK("https://docs.wto.org/imrd/directdoc.asp?DDFDocuments/t/G/SPS/NPHL287A1.DOC")</f>
        <v>https://docs.wto.org/imrd/directdoc.asp?DDFDocuments/t/G/SPS/NPHL287A1.DOC</v>
      </c>
      <c r="L611" s="2" t="str">
        <f>HYPERLINK("https://docs.wto.org/imrd/directdoc.asp?DDFDocuments/u/G/SPS/NPHL287A1.DOC")</f>
        <v>https://docs.wto.org/imrd/directdoc.asp?DDFDocuments/u/G/SPS/NPHL287A1.DOC</v>
      </c>
      <c r="M611" s="2" t="str">
        <f>HYPERLINK("https://docs.wto.org/imrd/directdoc.asp?DDFDocuments/v/G/SPS/NPHL287A1.DOC")</f>
        <v>https://docs.wto.org/imrd/directdoc.asp?DDFDocuments/v/G/SPS/NPHL287A1.DOC</v>
      </c>
      <c r="N611" s="2" t="str">
        <f>HYPERLINK("http://www.epingalert.org/#/details/G/SPS/N/PHL/287/Add.1")</f>
        <v>http://www.epingalert.org/#/details/G/SPS/N/PHL/287/Add.1</v>
      </c>
      <c r="O611" s="2"/>
    </row>
    <row r="612" spans="1:15" ht="240" customHeight="1" outlineLevel="1" x14ac:dyDescent="0.25">
      <c r="A612" s="2" t="s">
        <v>225</v>
      </c>
      <c r="B612" s="2" t="s">
        <v>3470</v>
      </c>
      <c r="C612" s="2" t="s">
        <v>3471</v>
      </c>
      <c r="D612" s="2" t="s">
        <v>3472</v>
      </c>
      <c r="E612" s="3">
        <v>42311</v>
      </c>
      <c r="F612" s="2" t="s">
        <v>3463</v>
      </c>
      <c r="G612" s="2"/>
      <c r="H612" s="2" t="s">
        <v>2425</v>
      </c>
      <c r="I612" s="2" t="s">
        <v>2431</v>
      </c>
      <c r="J612" s="3">
        <v>42382</v>
      </c>
      <c r="K612" s="2" t="str">
        <f>HYPERLINK("https://docs.wto.org/imrd/directdoc.asp?DDFDocuments/t/G/SPS/NAUS373.DOC")</f>
        <v>https://docs.wto.org/imrd/directdoc.asp?DDFDocuments/t/G/SPS/NAUS373.DOC</v>
      </c>
      <c r="L612" s="2" t="str">
        <f>HYPERLINK("https://docs.wto.org/imrd/directdoc.asp?DDFDocuments/u/G/SPS/NAUS373.DOC")</f>
        <v>https://docs.wto.org/imrd/directdoc.asp?DDFDocuments/u/G/SPS/NAUS373.DOC</v>
      </c>
      <c r="M612" s="2" t="str">
        <f>HYPERLINK("https://docs.wto.org/imrd/directdoc.asp?DDFDocuments/v/G/SPS/NAUS373.DOC")</f>
        <v>https://docs.wto.org/imrd/directdoc.asp?DDFDocuments/v/G/SPS/NAUS373.DOC</v>
      </c>
      <c r="N612" s="2" t="str">
        <f>HYPERLINK("http://www.epingalert.org/#/details/G/SPS/N/AUS/373")</f>
        <v>http://www.epingalert.org/#/details/G/SPS/N/AUS/373</v>
      </c>
      <c r="O612" s="2"/>
    </row>
    <row r="613" spans="1:15" ht="240" customHeight="1" outlineLevel="1" x14ac:dyDescent="0.25">
      <c r="A613" s="2" t="s">
        <v>31</v>
      </c>
      <c r="B613" s="2" t="s">
        <v>7347</v>
      </c>
      <c r="C613" s="2"/>
      <c r="D613" s="2"/>
      <c r="E613" s="3">
        <v>42311</v>
      </c>
      <c r="F613" s="2" t="s">
        <v>7348</v>
      </c>
      <c r="G613" s="2" t="s">
        <v>7349</v>
      </c>
      <c r="H613" s="2" t="s">
        <v>2454</v>
      </c>
      <c r="I613" s="2" t="s">
        <v>7020</v>
      </c>
      <c r="J613" s="2"/>
      <c r="K613" s="2" t="str">
        <f>HYPERLINK("https://docs.wto.org/imrd/directdoc.asp?DDFDocuments/t/G/SPS/NTHA229C1.DOC")</f>
        <v>https://docs.wto.org/imrd/directdoc.asp?DDFDocuments/t/G/SPS/NTHA229C1.DOC</v>
      </c>
      <c r="L613" s="2" t="str">
        <f>HYPERLINK("https://docs.wto.org/imrd/directdoc.asp?DDFDocuments/u/G/SPS/NTHA229C1.DOC")</f>
        <v>https://docs.wto.org/imrd/directdoc.asp?DDFDocuments/u/G/SPS/NTHA229C1.DOC</v>
      </c>
      <c r="M613" s="2" t="str">
        <f>HYPERLINK("https://docs.wto.org/imrd/directdoc.asp?DDFDocuments/v/G/SPS/NTHA229C1.DOC")</f>
        <v>https://docs.wto.org/imrd/directdoc.asp?DDFDocuments/v/G/SPS/NTHA229C1.DOC</v>
      </c>
      <c r="N613" s="2" t="str">
        <f>HYPERLINK("http://www.epingalert.org/#/details/G/SPS/N/THA/229/Corr.1")</f>
        <v>http://www.epingalert.org/#/details/G/SPS/N/THA/229/Corr.1</v>
      </c>
      <c r="O613" s="2"/>
    </row>
    <row r="614" spans="1:15" ht="240" customHeight="1" outlineLevel="1" x14ac:dyDescent="0.25">
      <c r="A614" s="2" t="s">
        <v>6732</v>
      </c>
      <c r="B614" s="2" t="s">
        <v>7353</v>
      </c>
      <c r="C614" s="2"/>
      <c r="D614" s="2"/>
      <c r="E614" s="3">
        <v>42305</v>
      </c>
      <c r="F614" s="2"/>
      <c r="G614" s="2" t="s">
        <v>2039</v>
      </c>
      <c r="H614" s="2" t="s">
        <v>2454</v>
      </c>
      <c r="I614" s="2" t="s">
        <v>7354</v>
      </c>
      <c r="J614" s="3">
        <v>42365</v>
      </c>
      <c r="K614" s="2" t="str">
        <f>HYPERLINK("https://docs.wto.org/imrd/directdoc.asp?DDFDocuments/t/G/SPS/NCOL260.DOC")</f>
        <v>https://docs.wto.org/imrd/directdoc.asp?DDFDocuments/t/G/SPS/NCOL260.DOC</v>
      </c>
      <c r="L614" s="2" t="str">
        <f>HYPERLINK("https://docs.wto.org/imrd/directdoc.asp?DDFDocuments/u/G/SPS/NCOL260.DOC")</f>
        <v>https://docs.wto.org/imrd/directdoc.asp?DDFDocuments/u/G/SPS/NCOL260.DOC</v>
      </c>
      <c r="M614" s="2" t="str">
        <f>HYPERLINK("https://docs.wto.org/imrd/directdoc.asp?DDFDocuments/v/G/SPS/NCOL260.DOC")</f>
        <v>https://docs.wto.org/imrd/directdoc.asp?DDFDocuments/v/G/SPS/NCOL260.DOC</v>
      </c>
      <c r="N614" s="2" t="str">
        <f>HYPERLINK("http://www.epingalert.org/#/details/G/SPS/N/COL/260")</f>
        <v>http://www.epingalert.org/#/details/G/SPS/N/COL/260</v>
      </c>
      <c r="O614" s="2"/>
    </row>
    <row r="615" spans="1:15" ht="240" customHeight="1" outlineLevel="1" x14ac:dyDescent="0.25">
      <c r="A615" s="2" t="s">
        <v>18</v>
      </c>
      <c r="B615" s="2" t="s">
        <v>7350</v>
      </c>
      <c r="C615" s="2"/>
      <c r="D615" s="2"/>
      <c r="E615" s="3">
        <v>42305</v>
      </c>
      <c r="F615" s="2" t="s">
        <v>7351</v>
      </c>
      <c r="G615" s="2" t="s">
        <v>7352</v>
      </c>
      <c r="H615" s="2" t="s">
        <v>6741</v>
      </c>
      <c r="I615" s="2" t="s">
        <v>2444</v>
      </c>
      <c r="J615" s="2"/>
      <c r="K615" s="2" t="str">
        <f>HYPERLINK("https://docs.wto.org/imrd/directdoc.asp?DDFDocuments/t/G/SPS/NUSA2759A1.DOC")</f>
        <v>https://docs.wto.org/imrd/directdoc.asp?DDFDocuments/t/G/SPS/NUSA2759A1.DOC</v>
      </c>
      <c r="L615" s="2" t="str">
        <f>HYPERLINK("https://docs.wto.org/imrd/directdoc.asp?DDFDocuments/u/G/SPS/NUSA2759A1.DOC")</f>
        <v>https://docs.wto.org/imrd/directdoc.asp?DDFDocuments/u/G/SPS/NUSA2759A1.DOC</v>
      </c>
      <c r="M615" s="2" t="str">
        <f>HYPERLINK("https://docs.wto.org/imrd/directdoc.asp?DDFDocuments/v/G/SPS/NUSA2759A1.DOC")</f>
        <v>https://docs.wto.org/imrd/directdoc.asp?DDFDocuments/v/G/SPS/NUSA2759A1.DOC</v>
      </c>
      <c r="N615" s="2" t="str">
        <f>HYPERLINK("http://www.epingalert.org/#/details/G/SPS/N/USA/2759/Add.1")</f>
        <v>http://www.epingalert.org/#/details/G/SPS/N/USA/2759/Add.1</v>
      </c>
      <c r="O615" s="2"/>
    </row>
    <row r="616" spans="1:15" ht="240" customHeight="1" outlineLevel="1" x14ac:dyDescent="0.25">
      <c r="A616" s="2" t="s">
        <v>562</v>
      </c>
      <c r="B616" s="2" t="s">
        <v>3473</v>
      </c>
      <c r="C616" s="2" t="s">
        <v>564</v>
      </c>
      <c r="D616" s="2" t="s">
        <v>3474</v>
      </c>
      <c r="E616" s="3">
        <v>42304</v>
      </c>
      <c r="F616" s="2" t="s">
        <v>46</v>
      </c>
      <c r="G616" s="2"/>
      <c r="H616" s="2" t="s">
        <v>2425</v>
      </c>
      <c r="I616" s="2" t="s">
        <v>2558</v>
      </c>
      <c r="J616" s="3">
        <v>42364</v>
      </c>
      <c r="K616" s="2" t="str">
        <f>HYPERLINK("https://docs.wto.org/imrd/directdoc.asp?DDFDocuments/t/G/SPS/NSGP56.DOC")</f>
        <v>https://docs.wto.org/imrd/directdoc.asp?DDFDocuments/t/G/SPS/NSGP56.DOC</v>
      </c>
      <c r="L616" s="2" t="str">
        <f>HYPERLINK("https://docs.wto.org/imrd/directdoc.asp?DDFDocuments/u/G/SPS/NSGP56.DOC")</f>
        <v>https://docs.wto.org/imrd/directdoc.asp?DDFDocuments/u/G/SPS/NSGP56.DOC</v>
      </c>
      <c r="M616" s="2" t="str">
        <f>HYPERLINK("https://docs.wto.org/imrd/directdoc.asp?DDFDocuments/v/G/SPS/NSGP56.DOC")</f>
        <v>https://docs.wto.org/imrd/directdoc.asp?DDFDocuments/v/G/SPS/NSGP56.DOC</v>
      </c>
      <c r="N616" s="2" t="str">
        <f>HYPERLINK("http://www.epingalert.org/#/details/G/SPS/N/SGP/56")</f>
        <v>http://www.epingalert.org/#/details/G/SPS/N/SGP/56</v>
      </c>
      <c r="O616" s="2"/>
    </row>
    <row r="617" spans="1:15" ht="240" customHeight="1" outlineLevel="1" x14ac:dyDescent="0.25">
      <c r="A617" s="2" t="s">
        <v>173</v>
      </c>
      <c r="B617" s="2" t="s">
        <v>3477</v>
      </c>
      <c r="C617" s="2" t="s">
        <v>3478</v>
      </c>
      <c r="D617" s="2" t="s">
        <v>3479</v>
      </c>
      <c r="E617" s="3">
        <v>42303</v>
      </c>
      <c r="F617" s="2" t="s">
        <v>3480</v>
      </c>
      <c r="G617" s="2" t="s">
        <v>3481</v>
      </c>
      <c r="H617" s="2" t="s">
        <v>2425</v>
      </c>
      <c r="I617" s="2" t="s">
        <v>3482</v>
      </c>
      <c r="J617" s="3">
        <v>42363</v>
      </c>
      <c r="K617" s="2" t="str">
        <f>HYPERLINK("https://docs.wto.org/imrd/directdoc.asp?DDFDocuments/t/G/SPS/NSAU180.DOC")</f>
        <v>https://docs.wto.org/imrd/directdoc.asp?DDFDocuments/t/G/SPS/NSAU180.DOC</v>
      </c>
      <c r="L617" s="2" t="str">
        <f>HYPERLINK("https://docs.wto.org/imrd/directdoc.asp?DDFDocuments/u/G/SPS/NSAU180.DOC")</f>
        <v>https://docs.wto.org/imrd/directdoc.asp?DDFDocuments/u/G/SPS/NSAU180.DOC</v>
      </c>
      <c r="M617" s="2" t="str">
        <f>HYPERLINK("https://docs.wto.org/imrd/directdoc.asp?DDFDocuments/v/G/SPS/NSAU180.DOC")</f>
        <v>https://docs.wto.org/imrd/directdoc.asp?DDFDocuments/v/G/SPS/NSAU180.DOC</v>
      </c>
      <c r="N617" s="2" t="str">
        <f>HYPERLINK("http://www.epingalert.org/#/details/G/SPS/N/SAU/180")</f>
        <v>http://www.epingalert.org/#/details/G/SPS/N/SAU/180</v>
      </c>
      <c r="O617" s="2"/>
    </row>
    <row r="618" spans="1:15" ht="240" customHeight="1" outlineLevel="1" x14ac:dyDescent="0.25">
      <c r="A618" s="2" t="s">
        <v>77</v>
      </c>
      <c r="B618" s="2" t="s">
        <v>7359</v>
      </c>
      <c r="C618" s="2" t="s">
        <v>7360</v>
      </c>
      <c r="D618" s="2" t="s">
        <v>7361</v>
      </c>
      <c r="E618" s="3">
        <v>42303</v>
      </c>
      <c r="F618" s="2" t="s">
        <v>7362</v>
      </c>
      <c r="G618" s="2" t="s">
        <v>7363</v>
      </c>
      <c r="H618" s="2" t="s">
        <v>2425</v>
      </c>
      <c r="I618" s="2" t="s">
        <v>2499</v>
      </c>
      <c r="J618" s="3">
        <v>42363</v>
      </c>
      <c r="K618" s="2" t="str">
        <f>HYPERLINK("https://docs.wto.org/imrd/directdoc.asp?DDFDocuments/t/G/SPS/NTPKM376.DOC")</f>
        <v>https://docs.wto.org/imrd/directdoc.asp?DDFDocuments/t/G/SPS/NTPKM376.DOC</v>
      </c>
      <c r="L618" s="2" t="str">
        <f>HYPERLINK("https://docs.wto.org/imrd/directdoc.asp?DDFDocuments/u/G/SPS/NTPKM376.DOC")</f>
        <v>https://docs.wto.org/imrd/directdoc.asp?DDFDocuments/u/G/SPS/NTPKM376.DOC</v>
      </c>
      <c r="M618" s="2" t="str">
        <f>HYPERLINK("https://docs.wto.org/imrd/directdoc.asp?DDFDocuments/v/G/SPS/NTPKM376.DOC")</f>
        <v>https://docs.wto.org/imrd/directdoc.asp?DDFDocuments/v/G/SPS/NTPKM376.DOC</v>
      </c>
      <c r="N618" s="2" t="str">
        <f>HYPERLINK("http://www.epingalert.org/#/details/G/SPS/N/TPKM/376")</f>
        <v>http://www.epingalert.org/#/details/G/SPS/N/TPKM/376</v>
      </c>
      <c r="O618" s="2"/>
    </row>
    <row r="619" spans="1:15" ht="240" customHeight="1" outlineLevel="1" x14ac:dyDescent="0.25">
      <c r="A619" s="2" t="s">
        <v>173</v>
      </c>
      <c r="B619" s="2" t="s">
        <v>7364</v>
      </c>
      <c r="C619" s="2" t="s">
        <v>7365</v>
      </c>
      <c r="D619" s="2" t="s">
        <v>7366</v>
      </c>
      <c r="E619" s="3">
        <v>42303</v>
      </c>
      <c r="F619" s="2" t="s">
        <v>7367</v>
      </c>
      <c r="G619" s="2" t="s">
        <v>1921</v>
      </c>
      <c r="H619" s="2" t="s">
        <v>2425</v>
      </c>
      <c r="I619" s="2" t="s">
        <v>2461</v>
      </c>
      <c r="J619" s="3">
        <v>42363</v>
      </c>
      <c r="K619" s="2" t="str">
        <f>HYPERLINK("https://docs.wto.org/imrd/directdoc.asp?DDFDocuments/t/G/SPS/NSAU183.DOC")</f>
        <v>https://docs.wto.org/imrd/directdoc.asp?DDFDocuments/t/G/SPS/NSAU183.DOC</v>
      </c>
      <c r="L619" s="2" t="str">
        <f>HYPERLINK("https://docs.wto.org/imrd/directdoc.asp?DDFDocuments/u/G/SPS/NSAU183.DOC")</f>
        <v>https://docs.wto.org/imrd/directdoc.asp?DDFDocuments/u/G/SPS/NSAU183.DOC</v>
      </c>
      <c r="M619" s="2" t="str">
        <f>HYPERLINK("https://docs.wto.org/imrd/directdoc.asp?DDFDocuments/v/G/SPS/NSAU183.DOC")</f>
        <v>https://docs.wto.org/imrd/directdoc.asp?DDFDocuments/v/G/SPS/NSAU183.DOC</v>
      </c>
      <c r="N619" s="2" t="str">
        <f>HYPERLINK("http://www.epingalert.org/#/details/G/SPS/N/SAU/183")</f>
        <v>http://www.epingalert.org/#/details/G/SPS/N/SAU/183</v>
      </c>
      <c r="O619" s="2"/>
    </row>
    <row r="620" spans="1:15" ht="240" customHeight="1" outlineLevel="1" x14ac:dyDescent="0.25">
      <c r="A620" s="2" t="s">
        <v>173</v>
      </c>
      <c r="B620" s="2" t="s">
        <v>7368</v>
      </c>
      <c r="C620" s="2" t="s">
        <v>7369</v>
      </c>
      <c r="D620" s="2" t="s">
        <v>7370</v>
      </c>
      <c r="E620" s="3">
        <v>42303</v>
      </c>
      <c r="F620" s="2" t="s">
        <v>7371</v>
      </c>
      <c r="G620" s="2" t="s">
        <v>7372</v>
      </c>
      <c r="H620" s="2" t="s">
        <v>2425</v>
      </c>
      <c r="I620" s="2" t="s">
        <v>3482</v>
      </c>
      <c r="J620" s="3">
        <v>42363</v>
      </c>
      <c r="K620" s="2" t="str">
        <f>HYPERLINK("https://docs.wto.org/imrd/directdoc.asp?DDFDocuments/t/G/SPS/NSAU182.DOC")</f>
        <v>https://docs.wto.org/imrd/directdoc.asp?DDFDocuments/t/G/SPS/NSAU182.DOC</v>
      </c>
      <c r="L620" s="2" t="str">
        <f>HYPERLINK("https://docs.wto.org/imrd/directdoc.asp?DDFDocuments/u/G/SPS/NSAU182.DOC")</f>
        <v>https://docs.wto.org/imrd/directdoc.asp?DDFDocuments/u/G/SPS/NSAU182.DOC</v>
      </c>
      <c r="M620" s="2" t="str">
        <f>HYPERLINK("https://docs.wto.org/imrd/directdoc.asp?DDFDocuments/v/G/SPS/NSAU182.DOC")</f>
        <v>https://docs.wto.org/imrd/directdoc.asp?DDFDocuments/v/G/SPS/NSAU182.DOC</v>
      </c>
      <c r="N620" s="2" t="str">
        <f>HYPERLINK("http://www.epingalert.org/#/details/G/SPS/N/SAU/182")</f>
        <v>http://www.epingalert.org/#/details/G/SPS/N/SAU/182</v>
      </c>
      <c r="O620" s="2"/>
    </row>
    <row r="621" spans="1:15" ht="240" customHeight="1" outlineLevel="1" x14ac:dyDescent="0.25">
      <c r="A621" s="2" t="s">
        <v>185</v>
      </c>
      <c r="B621" s="2" t="s">
        <v>3475</v>
      </c>
      <c r="C621" s="2"/>
      <c r="D621" s="2"/>
      <c r="E621" s="3">
        <v>42303</v>
      </c>
      <c r="F621" s="2" t="s">
        <v>3476</v>
      </c>
      <c r="G621" s="2"/>
      <c r="H621" s="2" t="s">
        <v>2425</v>
      </c>
      <c r="I621" s="2" t="s">
        <v>2672</v>
      </c>
      <c r="J621" s="3">
        <v>42329</v>
      </c>
      <c r="K621" s="2" t="str">
        <f>HYPERLINK("https://docs.wto.org/imrd/directdoc.asp?DDFDocuments/t/G/SPS/NEGY63A1.DOC")</f>
        <v>https://docs.wto.org/imrd/directdoc.asp?DDFDocuments/t/G/SPS/NEGY63A1.DOC</v>
      </c>
      <c r="L621" s="2" t="str">
        <f>HYPERLINK("https://docs.wto.org/imrd/directdoc.asp?DDFDocuments/u/G/SPS/NEGY63A1.DOC")</f>
        <v>https://docs.wto.org/imrd/directdoc.asp?DDFDocuments/u/G/SPS/NEGY63A1.DOC</v>
      </c>
      <c r="M621" s="2" t="str">
        <f>HYPERLINK("https://docs.wto.org/imrd/directdoc.asp?DDFDocuments/v/G/SPS/NEGY63A1.DOC")</f>
        <v>https://docs.wto.org/imrd/directdoc.asp?DDFDocuments/v/G/SPS/NEGY63A1.DOC</v>
      </c>
      <c r="N621" s="2" t="str">
        <f>HYPERLINK("http://www.epingalert.org/#/details/G/SPS/N/EGY/63/Add.1")</f>
        <v>http://www.epingalert.org/#/details/G/SPS/N/EGY/63/Add.1</v>
      </c>
      <c r="O621" s="2"/>
    </row>
    <row r="622" spans="1:15" ht="240" customHeight="1" outlineLevel="1" x14ac:dyDescent="0.25">
      <c r="A622" s="2" t="s">
        <v>185</v>
      </c>
      <c r="B622" s="2" t="s">
        <v>6616</v>
      </c>
      <c r="C622" s="2"/>
      <c r="D622" s="2"/>
      <c r="E622" s="3">
        <v>42303</v>
      </c>
      <c r="F622" s="2" t="s">
        <v>6617</v>
      </c>
      <c r="G622" s="2" t="s">
        <v>6607</v>
      </c>
      <c r="H622" s="2" t="s">
        <v>2425</v>
      </c>
      <c r="I622" s="2" t="s">
        <v>2672</v>
      </c>
      <c r="J622" s="3">
        <v>42327</v>
      </c>
      <c r="K622" s="2" t="str">
        <f>HYPERLINK("https://docs.wto.org/imrd/directdoc.asp?DDFDocuments/t/G/SPS/NEGY62A1.DOC")</f>
        <v>https://docs.wto.org/imrd/directdoc.asp?DDFDocuments/t/G/SPS/NEGY62A1.DOC</v>
      </c>
      <c r="L622" s="2" t="str">
        <f>HYPERLINK("https://docs.wto.org/imrd/directdoc.asp?DDFDocuments/u/G/SPS/NEGY62A1.DOC")</f>
        <v>https://docs.wto.org/imrd/directdoc.asp?DDFDocuments/u/G/SPS/NEGY62A1.DOC</v>
      </c>
      <c r="M622" s="2" t="str">
        <f>HYPERLINK("https://docs.wto.org/imrd/directdoc.asp?DDFDocuments/v/G/SPS/NEGY62A1.DOC")</f>
        <v>https://docs.wto.org/imrd/directdoc.asp?DDFDocuments/v/G/SPS/NEGY62A1.DOC</v>
      </c>
      <c r="N622" s="2" t="str">
        <f>HYPERLINK("http://www.epingalert.org/#/details/G/SPS/N/EGY/62/Add.1")</f>
        <v>http://www.epingalert.org/#/details/G/SPS/N/EGY/62/Add.1</v>
      </c>
      <c r="O622" s="2"/>
    </row>
    <row r="623" spans="1:15" ht="240" customHeight="1" outlineLevel="1" x14ac:dyDescent="0.25">
      <c r="A623" s="2" t="s">
        <v>128</v>
      </c>
      <c r="B623" s="2" t="s">
        <v>3483</v>
      </c>
      <c r="C623" s="2"/>
      <c r="D623" s="2"/>
      <c r="E623" s="3">
        <v>42303</v>
      </c>
      <c r="F623" s="2"/>
      <c r="G623" s="2" t="s">
        <v>3484</v>
      </c>
      <c r="H623" s="2" t="s">
        <v>2467</v>
      </c>
      <c r="I623" s="2" t="s">
        <v>3485</v>
      </c>
      <c r="J623" s="2"/>
      <c r="K623" s="2" t="str">
        <f>HYPERLINK("https://docs.wto.org/imrd/directdoc.asp?DDFDocuments/t/G/SPS/NPER623.DOC")</f>
        <v>https://docs.wto.org/imrd/directdoc.asp?DDFDocuments/t/G/SPS/NPER623.DOC</v>
      </c>
      <c r="L623" s="2" t="str">
        <f>HYPERLINK("https://docs.wto.org/imrd/directdoc.asp?DDFDocuments/u/G/SPS/NPER623.DOC")</f>
        <v>https://docs.wto.org/imrd/directdoc.asp?DDFDocuments/u/G/SPS/NPER623.DOC</v>
      </c>
      <c r="M623" s="2" t="str">
        <f>HYPERLINK("https://docs.wto.org/imrd/directdoc.asp?DDFDocuments/v/G/SPS/NPER623.DOC")</f>
        <v>https://docs.wto.org/imrd/directdoc.asp?DDFDocuments/v/G/SPS/NPER623.DOC</v>
      </c>
      <c r="N623" s="2" t="str">
        <f>HYPERLINK("http://www.epingalert.org/#/details/G/SPS/N/PER/623")</f>
        <v>http://www.epingalert.org/#/details/G/SPS/N/PER/623</v>
      </c>
      <c r="O623" s="2"/>
    </row>
    <row r="624" spans="1:15" ht="240" customHeight="1" outlineLevel="1" x14ac:dyDescent="0.25">
      <c r="A624" s="2" t="s">
        <v>2544</v>
      </c>
      <c r="B624" s="2" t="s">
        <v>7357</v>
      </c>
      <c r="C624" s="2"/>
      <c r="D624" s="2"/>
      <c r="E624" s="3">
        <v>42303</v>
      </c>
      <c r="F624" s="2" t="s">
        <v>7358</v>
      </c>
      <c r="G624" s="2" t="s">
        <v>6736</v>
      </c>
      <c r="H624" s="2" t="s">
        <v>2467</v>
      </c>
      <c r="I624" s="2" t="s">
        <v>2444</v>
      </c>
      <c r="J624" s="2"/>
      <c r="K624" s="2" t="str">
        <f>HYPERLINK("https://docs.wto.org/imrd/directdoc.asp?DDFDocuments/t/G/SPS/NCHL490A1.DOC")</f>
        <v>https://docs.wto.org/imrd/directdoc.asp?DDFDocuments/t/G/SPS/NCHL490A1.DOC</v>
      </c>
      <c r="L624" s="2" t="str">
        <f>HYPERLINK("https://docs.wto.org/imrd/directdoc.asp?DDFDocuments/u/G/SPS/NCHL490A1.DOC")</f>
        <v>https://docs.wto.org/imrd/directdoc.asp?DDFDocuments/u/G/SPS/NCHL490A1.DOC</v>
      </c>
      <c r="M624" s="2" t="str">
        <f>HYPERLINK("https://docs.wto.org/imrd/directdoc.asp?DDFDocuments/v/G/SPS/NCHL490A1.DOC")</f>
        <v>https://docs.wto.org/imrd/directdoc.asp?DDFDocuments/v/G/SPS/NCHL490A1.DOC</v>
      </c>
      <c r="N624" s="2" t="str">
        <f>HYPERLINK("http://www.epingalert.org/#/details/G/SPS/N/CHL/490/Add.1")</f>
        <v>http://www.epingalert.org/#/details/G/SPS/N/CHL/490/Add.1</v>
      </c>
      <c r="O624" s="2"/>
    </row>
    <row r="625" spans="1:15" ht="240" customHeight="1" outlineLevel="1" x14ac:dyDescent="0.25">
      <c r="A625" s="2" t="s">
        <v>173</v>
      </c>
      <c r="B625" s="2" t="s">
        <v>3490</v>
      </c>
      <c r="C625" s="2" t="s">
        <v>3491</v>
      </c>
      <c r="D625" s="2" t="s">
        <v>570</v>
      </c>
      <c r="E625" s="3">
        <v>42300</v>
      </c>
      <c r="F625" s="2" t="s">
        <v>3492</v>
      </c>
      <c r="G625" s="2" t="s">
        <v>3493</v>
      </c>
      <c r="H625" s="2" t="s">
        <v>2425</v>
      </c>
      <c r="I625" s="2" t="s">
        <v>3482</v>
      </c>
      <c r="J625" s="3">
        <v>42360</v>
      </c>
      <c r="K625" s="2" t="str">
        <f>HYPERLINK("https://docs.wto.org/imrd/directdoc.asp?DDFDocuments/t/G/SPS/NSAU175.DOC")</f>
        <v>https://docs.wto.org/imrd/directdoc.asp?DDFDocuments/t/G/SPS/NSAU175.DOC</v>
      </c>
      <c r="L625" s="2" t="str">
        <f>HYPERLINK("https://docs.wto.org/imrd/directdoc.asp?DDFDocuments/u/G/SPS/NSAU175.DOC")</f>
        <v>https://docs.wto.org/imrd/directdoc.asp?DDFDocuments/u/G/SPS/NSAU175.DOC</v>
      </c>
      <c r="M625" s="2" t="str">
        <f>HYPERLINK("https://docs.wto.org/imrd/directdoc.asp?DDFDocuments/v/G/SPS/NSAU175.DOC")</f>
        <v>https://docs.wto.org/imrd/directdoc.asp?DDFDocuments/v/G/SPS/NSAU175.DOC</v>
      </c>
      <c r="N625" s="2" t="str">
        <f>HYPERLINK("http://www.epingalert.org/#/details/G/SPS/N/SAU/175")</f>
        <v>http://www.epingalert.org/#/details/G/SPS/N/SAU/175</v>
      </c>
      <c r="O625" s="2"/>
    </row>
    <row r="626" spans="1:15" ht="240" customHeight="1" outlineLevel="1" x14ac:dyDescent="0.25">
      <c r="A626" s="2" t="s">
        <v>173</v>
      </c>
      <c r="B626" s="2" t="s">
        <v>3494</v>
      </c>
      <c r="C626" s="2" t="s">
        <v>3495</v>
      </c>
      <c r="D626" s="2" t="s">
        <v>3496</v>
      </c>
      <c r="E626" s="3">
        <v>42300</v>
      </c>
      <c r="F626" s="2" t="s">
        <v>3497</v>
      </c>
      <c r="G626" s="2" t="s">
        <v>2895</v>
      </c>
      <c r="H626" s="2" t="s">
        <v>2425</v>
      </c>
      <c r="I626" s="2" t="s">
        <v>2461</v>
      </c>
      <c r="J626" s="3">
        <v>42360</v>
      </c>
      <c r="K626" s="2" t="str">
        <f>HYPERLINK("https://docs.wto.org/imrd/directdoc.asp?DDFDocuments/t/G/SPS/NSAU173.DOC")</f>
        <v>https://docs.wto.org/imrd/directdoc.asp?DDFDocuments/t/G/SPS/NSAU173.DOC</v>
      </c>
      <c r="L626" s="2" t="str">
        <f>HYPERLINK("https://docs.wto.org/imrd/directdoc.asp?DDFDocuments/u/G/SPS/NSAU173.DOC")</f>
        <v>https://docs.wto.org/imrd/directdoc.asp?DDFDocuments/u/G/SPS/NSAU173.DOC</v>
      </c>
      <c r="M626" s="2" t="str">
        <f>HYPERLINK("https://docs.wto.org/imrd/directdoc.asp?DDFDocuments/v/G/SPS/NSAU173.DOC")</f>
        <v>https://docs.wto.org/imrd/directdoc.asp?DDFDocuments/v/G/SPS/NSAU173.DOC</v>
      </c>
      <c r="N626" s="2" t="str">
        <f>HYPERLINK("http://www.epingalert.org/#/details/G/SPS/N/SAU/173")</f>
        <v>http://www.epingalert.org/#/details/G/SPS/N/SAU/173</v>
      </c>
      <c r="O626" s="2"/>
    </row>
    <row r="627" spans="1:15" ht="240" customHeight="1" outlineLevel="1" x14ac:dyDescent="0.25">
      <c r="A627" s="2" t="s">
        <v>25</v>
      </c>
      <c r="B627" s="2" t="s">
        <v>3498</v>
      </c>
      <c r="C627" s="2" t="s">
        <v>3499</v>
      </c>
      <c r="D627" s="2" t="s">
        <v>3500</v>
      </c>
      <c r="E627" s="3">
        <v>42300</v>
      </c>
      <c r="F627" s="2" t="s">
        <v>299</v>
      </c>
      <c r="G627" s="2"/>
      <c r="H627" s="2" t="s">
        <v>2425</v>
      </c>
      <c r="I627" s="2" t="s">
        <v>2453</v>
      </c>
      <c r="J627" s="3">
        <v>42360</v>
      </c>
      <c r="K627" s="2" t="str">
        <f>HYPERLINK("https://docs.wto.org/imrd/directdoc.asp?DDFDocuments/t/G/SPS/NKOR520.DOC")</f>
        <v>https://docs.wto.org/imrd/directdoc.asp?DDFDocuments/t/G/SPS/NKOR520.DOC</v>
      </c>
      <c r="L627" s="2" t="str">
        <f>HYPERLINK("https://docs.wto.org/imrd/directdoc.asp?DDFDocuments/u/G/SPS/NKOR520.DOC")</f>
        <v>https://docs.wto.org/imrd/directdoc.asp?DDFDocuments/u/G/SPS/NKOR520.DOC</v>
      </c>
      <c r="M627" s="2" t="str">
        <f>HYPERLINK("https://docs.wto.org/imrd/directdoc.asp?DDFDocuments/v/G/SPS/NKOR520.DOC")</f>
        <v>https://docs.wto.org/imrd/directdoc.asp?DDFDocuments/v/G/SPS/NKOR520.DOC</v>
      </c>
      <c r="N627" s="2" t="str">
        <f>HYPERLINK("http://www.epingalert.org/#/details/G/SPS/N/KOR/520")</f>
        <v>http://www.epingalert.org/#/details/G/SPS/N/KOR/520</v>
      </c>
      <c r="O627" s="2" t="s">
        <v>8885</v>
      </c>
    </row>
    <row r="628" spans="1:15" ht="240" customHeight="1" outlineLevel="1" x14ac:dyDescent="0.25">
      <c r="A628" s="2" t="s">
        <v>173</v>
      </c>
      <c r="B628" s="2" t="s">
        <v>3501</v>
      </c>
      <c r="C628" s="2" t="s">
        <v>3502</v>
      </c>
      <c r="D628" s="2" t="s">
        <v>3503</v>
      </c>
      <c r="E628" s="3">
        <v>42300</v>
      </c>
      <c r="F628" s="2" t="s">
        <v>3504</v>
      </c>
      <c r="G628" s="2" t="s">
        <v>3505</v>
      </c>
      <c r="H628" s="2" t="s">
        <v>2425</v>
      </c>
      <c r="I628" s="2" t="s">
        <v>2461</v>
      </c>
      <c r="J628" s="3">
        <v>42360</v>
      </c>
      <c r="K628" s="2" t="str">
        <f>HYPERLINK("https://docs.wto.org/imrd/directdoc.asp?DDFDocuments/t/G/SPS/NSAU171.DOC")</f>
        <v>https://docs.wto.org/imrd/directdoc.asp?DDFDocuments/t/G/SPS/NSAU171.DOC</v>
      </c>
      <c r="L628" s="2" t="str">
        <f>HYPERLINK("https://docs.wto.org/imrd/directdoc.asp?DDFDocuments/u/G/SPS/NSAU171.DOC")</f>
        <v>https://docs.wto.org/imrd/directdoc.asp?DDFDocuments/u/G/SPS/NSAU171.DOC</v>
      </c>
      <c r="M628" s="2" t="str">
        <f>HYPERLINK("https://docs.wto.org/imrd/directdoc.asp?DDFDocuments/v/G/SPS/NSAU171.DOC")</f>
        <v>https://docs.wto.org/imrd/directdoc.asp?DDFDocuments/v/G/SPS/NSAU171.DOC</v>
      </c>
      <c r="N628" s="2" t="str">
        <f>HYPERLINK("http://www.epingalert.org/#/details/G/SPS/N/SAU/171")</f>
        <v>http://www.epingalert.org/#/details/G/SPS/N/SAU/171</v>
      </c>
      <c r="O628" s="2"/>
    </row>
    <row r="629" spans="1:15" ht="240" customHeight="1" outlineLevel="1" x14ac:dyDescent="0.25">
      <c r="A629" s="2" t="s">
        <v>173</v>
      </c>
      <c r="B629" s="2" t="s">
        <v>6525</v>
      </c>
      <c r="C629" s="2" t="s">
        <v>6526</v>
      </c>
      <c r="D629" s="2" t="s">
        <v>6527</v>
      </c>
      <c r="E629" s="3">
        <v>42300</v>
      </c>
      <c r="F629" s="2" t="s">
        <v>6528</v>
      </c>
      <c r="G629" s="2" t="s">
        <v>1775</v>
      </c>
      <c r="H629" s="2" t="s">
        <v>2425</v>
      </c>
      <c r="I629" s="2" t="s">
        <v>2461</v>
      </c>
      <c r="J629" s="3">
        <v>42360</v>
      </c>
      <c r="K629" s="2" t="str">
        <f>HYPERLINK("https://docs.wto.org/imrd/directdoc.asp?DDFDocuments/t/G/SPS/NSAU174.DOC")</f>
        <v>https://docs.wto.org/imrd/directdoc.asp?DDFDocuments/t/G/SPS/NSAU174.DOC</v>
      </c>
      <c r="L629" s="2" t="str">
        <f>HYPERLINK("https://docs.wto.org/imrd/directdoc.asp?DDFDocuments/u/G/SPS/NSAU174.DOC")</f>
        <v>https://docs.wto.org/imrd/directdoc.asp?DDFDocuments/u/G/SPS/NSAU174.DOC</v>
      </c>
      <c r="M629" s="2" t="str">
        <f>HYPERLINK("https://docs.wto.org/imrd/directdoc.asp?DDFDocuments/v/G/SPS/NSAU174.DOC")</f>
        <v>https://docs.wto.org/imrd/directdoc.asp?DDFDocuments/v/G/SPS/NSAU174.DOC</v>
      </c>
      <c r="N629" s="2" t="str">
        <f>HYPERLINK("http://www.epingalert.org/#/details/G/SPS/N/SAU/174")</f>
        <v>http://www.epingalert.org/#/details/G/SPS/N/SAU/174</v>
      </c>
      <c r="O629" s="2"/>
    </row>
    <row r="630" spans="1:15" ht="240" customHeight="1" outlineLevel="1" x14ac:dyDescent="0.25">
      <c r="A630" s="2" t="s">
        <v>173</v>
      </c>
      <c r="B630" s="2" t="s">
        <v>7375</v>
      </c>
      <c r="C630" s="2" t="s">
        <v>7376</v>
      </c>
      <c r="D630" s="2" t="s">
        <v>7377</v>
      </c>
      <c r="E630" s="3">
        <v>42300</v>
      </c>
      <c r="F630" s="2" t="s">
        <v>7378</v>
      </c>
      <c r="G630" s="2" t="s">
        <v>7379</v>
      </c>
      <c r="H630" s="2" t="s">
        <v>2425</v>
      </c>
      <c r="I630" s="2" t="s">
        <v>2461</v>
      </c>
      <c r="J630" s="3">
        <v>42360</v>
      </c>
      <c r="K630" s="2" t="str">
        <f>HYPERLINK("https://docs.wto.org/imrd/directdoc.asp?DDFDocuments/t/G/SPS/NSAU178.DOC")</f>
        <v>https://docs.wto.org/imrd/directdoc.asp?DDFDocuments/t/G/SPS/NSAU178.DOC</v>
      </c>
      <c r="L630" s="2" t="str">
        <f>HYPERLINK("https://docs.wto.org/imrd/directdoc.asp?DDFDocuments/u/G/SPS/NSAU178.DOC")</f>
        <v>https://docs.wto.org/imrd/directdoc.asp?DDFDocuments/u/G/SPS/NSAU178.DOC</v>
      </c>
      <c r="M630" s="2" t="str">
        <f>HYPERLINK("https://docs.wto.org/imrd/directdoc.asp?DDFDocuments/v/G/SPS/NSAU178.DOC")</f>
        <v>https://docs.wto.org/imrd/directdoc.asp?DDFDocuments/v/G/SPS/NSAU178.DOC</v>
      </c>
      <c r="N630" s="2" t="str">
        <f>HYPERLINK("http://www.epingalert.org/#/details/G/SPS/N/SAU/178")</f>
        <v>http://www.epingalert.org/#/details/G/SPS/N/SAU/178</v>
      </c>
      <c r="O630" s="2"/>
    </row>
    <row r="631" spans="1:15" ht="240" customHeight="1" outlineLevel="1" x14ac:dyDescent="0.25">
      <c r="A631" s="2" t="s">
        <v>173</v>
      </c>
      <c r="B631" s="2" t="s">
        <v>7380</v>
      </c>
      <c r="C631" s="2" t="s">
        <v>7381</v>
      </c>
      <c r="D631" s="2" t="s">
        <v>7382</v>
      </c>
      <c r="E631" s="3">
        <v>42300</v>
      </c>
      <c r="F631" s="2" t="s">
        <v>7383</v>
      </c>
      <c r="G631" s="2" t="s">
        <v>1921</v>
      </c>
      <c r="H631" s="2" t="s">
        <v>2425</v>
      </c>
      <c r="I631" s="2" t="s">
        <v>2461</v>
      </c>
      <c r="J631" s="3">
        <v>42360</v>
      </c>
      <c r="K631" s="2" t="str">
        <f>HYPERLINK("https://docs.wto.org/imrd/directdoc.asp?DDFDocuments/t/G/SPS/NSAU177.DOC")</f>
        <v>https://docs.wto.org/imrd/directdoc.asp?DDFDocuments/t/G/SPS/NSAU177.DOC</v>
      </c>
      <c r="L631" s="2" t="str">
        <f>HYPERLINK("https://docs.wto.org/imrd/directdoc.asp?DDFDocuments/u/G/SPS/NSAU177.DOC")</f>
        <v>https://docs.wto.org/imrd/directdoc.asp?DDFDocuments/u/G/SPS/NSAU177.DOC</v>
      </c>
      <c r="M631" s="2" t="str">
        <f>HYPERLINK("https://docs.wto.org/imrd/directdoc.asp?DDFDocuments/v/G/SPS/NSAU177.DOC")</f>
        <v>https://docs.wto.org/imrd/directdoc.asp?DDFDocuments/v/G/SPS/NSAU177.DOC</v>
      </c>
      <c r="N631" s="2" t="str">
        <f>HYPERLINK("http://www.epingalert.org/#/details/G/SPS/N/SAU/177")</f>
        <v>http://www.epingalert.org/#/details/G/SPS/N/SAU/177</v>
      </c>
      <c r="O631" s="2"/>
    </row>
    <row r="632" spans="1:15" ht="240" customHeight="1" outlineLevel="1" x14ac:dyDescent="0.25">
      <c r="A632" s="2" t="s">
        <v>173</v>
      </c>
      <c r="B632" s="2" t="s">
        <v>7384</v>
      </c>
      <c r="C632" s="2" t="s">
        <v>7385</v>
      </c>
      <c r="D632" s="2" t="s">
        <v>7386</v>
      </c>
      <c r="E632" s="3">
        <v>42300</v>
      </c>
      <c r="F632" s="2" t="s">
        <v>7387</v>
      </c>
      <c r="G632" s="2" t="s">
        <v>2039</v>
      </c>
      <c r="H632" s="2" t="s">
        <v>2425</v>
      </c>
      <c r="I632" s="2" t="s">
        <v>3081</v>
      </c>
      <c r="J632" s="3">
        <v>42360</v>
      </c>
      <c r="K632" s="2" t="str">
        <f>HYPERLINK("https://docs.wto.org/imrd/directdoc.asp?DDFDocuments/t/G/SPS/NSAU170.DOC")</f>
        <v>https://docs.wto.org/imrd/directdoc.asp?DDFDocuments/t/G/SPS/NSAU170.DOC</v>
      </c>
      <c r="L632" s="2" t="str">
        <f>HYPERLINK("https://docs.wto.org/imrd/directdoc.asp?DDFDocuments/u/G/SPS/NSAU170.DOC")</f>
        <v>https://docs.wto.org/imrd/directdoc.asp?DDFDocuments/u/G/SPS/NSAU170.DOC</v>
      </c>
      <c r="M632" s="2" t="str">
        <f>HYPERLINK("https://docs.wto.org/imrd/directdoc.asp?DDFDocuments/v/G/SPS/NSAU170.DOC")</f>
        <v>https://docs.wto.org/imrd/directdoc.asp?DDFDocuments/v/G/SPS/NSAU170.DOC</v>
      </c>
      <c r="N632" s="2" t="str">
        <f>HYPERLINK("http://www.epingalert.org/#/details/G/SPS/N/SAU/170")</f>
        <v>http://www.epingalert.org/#/details/G/SPS/N/SAU/170</v>
      </c>
      <c r="O632" s="2"/>
    </row>
    <row r="633" spans="1:15" ht="240" customHeight="1" outlineLevel="1" x14ac:dyDescent="0.25">
      <c r="A633" s="2" t="s">
        <v>12</v>
      </c>
      <c r="B633" s="2" t="s">
        <v>3486</v>
      </c>
      <c r="C633" s="2" t="s">
        <v>3487</v>
      </c>
      <c r="D633" s="2" t="s">
        <v>3488</v>
      </c>
      <c r="E633" s="3">
        <v>42300</v>
      </c>
      <c r="F633" s="2" t="s">
        <v>3489</v>
      </c>
      <c r="G633" s="2"/>
      <c r="H633" s="2" t="s">
        <v>2425</v>
      </c>
      <c r="I633" s="2" t="s">
        <v>2426</v>
      </c>
      <c r="J633" s="2"/>
      <c r="K633" s="2" t="str">
        <f>HYPERLINK("https://docs.wto.org/imrd/directdoc.asp?DDFDocuments/t/G/SPS/NEU149.DOC")</f>
        <v>https://docs.wto.org/imrd/directdoc.asp?DDFDocuments/t/G/SPS/NEU149.DOC</v>
      </c>
      <c r="L633" s="2" t="str">
        <f>HYPERLINK("https://docs.wto.org/imrd/directdoc.asp?DDFDocuments/u/G/SPS/NEU149.DOC")</f>
        <v>https://docs.wto.org/imrd/directdoc.asp?DDFDocuments/u/G/SPS/NEU149.DOC</v>
      </c>
      <c r="M633" s="2" t="str">
        <f>HYPERLINK("https://docs.wto.org/imrd/directdoc.asp?DDFDocuments/v/G/SPS/NEU149.DOC")</f>
        <v>https://docs.wto.org/imrd/directdoc.asp?DDFDocuments/v/G/SPS/NEU149.DOC</v>
      </c>
      <c r="N633" s="2" t="str">
        <f>HYPERLINK("http://www.epingalert.org/#/details/G/SPS/N/EU/149")</f>
        <v>http://www.epingalert.org/#/details/G/SPS/N/EU/149</v>
      </c>
      <c r="O633" s="2"/>
    </row>
    <row r="634" spans="1:15" ht="240" customHeight="1" outlineLevel="1" x14ac:dyDescent="0.25">
      <c r="A634" s="2" t="s">
        <v>225</v>
      </c>
      <c r="B634" s="2" t="s">
        <v>7373</v>
      </c>
      <c r="C634" s="2"/>
      <c r="D634" s="2"/>
      <c r="E634" s="3">
        <v>42300</v>
      </c>
      <c r="F634" s="2" t="s">
        <v>7374</v>
      </c>
      <c r="G634" s="2" t="s">
        <v>6227</v>
      </c>
      <c r="H634" s="2" t="s">
        <v>2425</v>
      </c>
      <c r="I634" s="2" t="s">
        <v>2444</v>
      </c>
      <c r="J634" s="2"/>
      <c r="K634" s="2" t="str">
        <f>HYPERLINK("https://docs.wto.org/imrd/directdoc.asp?DDFDocuments/t/G/SPS/NAUS358A1.DOC")</f>
        <v>https://docs.wto.org/imrd/directdoc.asp?DDFDocuments/t/G/SPS/NAUS358A1.DOC</v>
      </c>
      <c r="L634" s="2" t="str">
        <f>HYPERLINK("https://docs.wto.org/imrd/directdoc.asp?DDFDocuments/u/G/SPS/NAUS358A1.DOC")</f>
        <v>https://docs.wto.org/imrd/directdoc.asp?DDFDocuments/u/G/SPS/NAUS358A1.DOC</v>
      </c>
      <c r="M634" s="2" t="str">
        <f>HYPERLINK("https://docs.wto.org/imrd/directdoc.asp?DDFDocuments/v/G/SPS/NAUS358A1.DOC")</f>
        <v>https://docs.wto.org/imrd/directdoc.asp?DDFDocuments/v/G/SPS/NAUS358A1.DOC</v>
      </c>
      <c r="N634" s="2" t="str">
        <f>HYPERLINK("http://www.epingalert.org/#/details/G/SPS/N/AUS/358/Add.1")</f>
        <v>http://www.epingalert.org/#/details/G/SPS/N/AUS/358/Add.1</v>
      </c>
      <c r="O634" s="2"/>
    </row>
    <row r="635" spans="1:15" ht="240" customHeight="1" outlineLevel="1" x14ac:dyDescent="0.25">
      <c r="A635" s="2" t="s">
        <v>1908</v>
      </c>
      <c r="B635" s="2" t="s">
        <v>3506</v>
      </c>
      <c r="C635" s="2"/>
      <c r="D635" s="2"/>
      <c r="E635" s="3">
        <v>42298</v>
      </c>
      <c r="F635" s="2" t="s">
        <v>3507</v>
      </c>
      <c r="G635" s="2"/>
      <c r="H635" s="2" t="s">
        <v>2425</v>
      </c>
      <c r="I635" s="2" t="s">
        <v>2444</v>
      </c>
      <c r="J635" s="2"/>
      <c r="K635" s="2" t="str">
        <f>HYPERLINK("https://docs.wto.org/imrd/directdoc.asp?DDFDocuments/t/G/SPS/NCAN945A1.DOC")</f>
        <v>https://docs.wto.org/imrd/directdoc.asp?DDFDocuments/t/G/SPS/NCAN945A1.DOC</v>
      </c>
      <c r="L635" s="2" t="str">
        <f>HYPERLINK("https://docs.wto.org/imrd/directdoc.asp?DDFDocuments/u/G/SPS/NCAN945A1.DOC")</f>
        <v>https://docs.wto.org/imrd/directdoc.asp?DDFDocuments/u/G/SPS/NCAN945A1.DOC</v>
      </c>
      <c r="M635" s="2" t="str">
        <f>HYPERLINK("https://docs.wto.org/imrd/directdoc.asp?DDFDocuments/v/G/SPS/NCAN945A1.DOC")</f>
        <v>https://docs.wto.org/imrd/directdoc.asp?DDFDocuments/v/G/SPS/NCAN945A1.DOC</v>
      </c>
      <c r="N635" s="2" t="str">
        <f>HYPERLINK("http://www.epingalert.org/#/details/G/SPS/N/CAN/945/Add.1")</f>
        <v>http://www.epingalert.org/#/details/G/SPS/N/CAN/945/Add.1</v>
      </c>
      <c r="O635" s="2"/>
    </row>
    <row r="636" spans="1:15" ht="240" customHeight="1" outlineLevel="1" x14ac:dyDescent="0.25">
      <c r="A636" s="2" t="s">
        <v>25</v>
      </c>
      <c r="B636" s="2" t="s">
        <v>7388</v>
      </c>
      <c r="C636" s="2" t="s">
        <v>5705</v>
      </c>
      <c r="D636" s="2" t="s">
        <v>7389</v>
      </c>
      <c r="E636" s="3">
        <v>42296</v>
      </c>
      <c r="F636" s="2" t="s">
        <v>5707</v>
      </c>
      <c r="G636" s="2" t="s">
        <v>7390</v>
      </c>
      <c r="H636" s="2" t="s">
        <v>2425</v>
      </c>
      <c r="I636" s="2" t="s">
        <v>2461</v>
      </c>
      <c r="J636" s="3">
        <v>42356</v>
      </c>
      <c r="K636" s="2" t="str">
        <f>HYPERLINK("https://docs.wto.org/imrd/directdoc.asp?DDFDocuments/t/G/SPS/NKOR519.DOC")</f>
        <v>https://docs.wto.org/imrd/directdoc.asp?DDFDocuments/t/G/SPS/NKOR519.DOC</v>
      </c>
      <c r="L636" s="2" t="str">
        <f>HYPERLINK("https://docs.wto.org/imrd/directdoc.asp?DDFDocuments/u/G/SPS/NKOR519.DOC")</f>
        <v>https://docs.wto.org/imrd/directdoc.asp?DDFDocuments/u/G/SPS/NKOR519.DOC</v>
      </c>
      <c r="M636" s="2" t="str">
        <f>HYPERLINK("https://docs.wto.org/imrd/directdoc.asp?DDFDocuments/v/G/SPS/NKOR519.DOC")</f>
        <v>https://docs.wto.org/imrd/directdoc.asp?DDFDocuments/v/G/SPS/NKOR519.DOC</v>
      </c>
      <c r="N636" s="2" t="str">
        <f>HYPERLINK("http://www.epingalert.org/#/details/G/SPS/N/KOR/519")</f>
        <v>http://www.epingalert.org/#/details/G/SPS/N/KOR/519</v>
      </c>
      <c r="O636" s="2"/>
    </row>
    <row r="637" spans="1:15" ht="240" customHeight="1" outlineLevel="1" x14ac:dyDescent="0.25">
      <c r="A637" s="2" t="s">
        <v>77</v>
      </c>
      <c r="B637" s="2" t="s">
        <v>3512</v>
      </c>
      <c r="C637" s="2" t="s">
        <v>3513</v>
      </c>
      <c r="D637" s="2" t="s">
        <v>3514</v>
      </c>
      <c r="E637" s="3">
        <v>42293</v>
      </c>
      <c r="F637" s="2" t="s">
        <v>3515</v>
      </c>
      <c r="G637" s="2" t="s">
        <v>3516</v>
      </c>
      <c r="H637" s="2" t="s">
        <v>2425</v>
      </c>
      <c r="I637" s="2" t="s">
        <v>2535</v>
      </c>
      <c r="J637" s="3">
        <v>42353</v>
      </c>
      <c r="K637" s="2" t="str">
        <f>HYPERLINK("https://docs.wto.org/imrd/directdoc.asp?DDFDocuments/t/G/SPS/NTPKM375.DOC")</f>
        <v>https://docs.wto.org/imrd/directdoc.asp?DDFDocuments/t/G/SPS/NTPKM375.DOC</v>
      </c>
      <c r="L637" s="2" t="str">
        <f>HYPERLINK("https://docs.wto.org/imrd/directdoc.asp?DDFDocuments/u/G/SPS/NTPKM375.DOC")</f>
        <v>https://docs.wto.org/imrd/directdoc.asp?DDFDocuments/u/G/SPS/NTPKM375.DOC</v>
      </c>
      <c r="M637" s="2" t="str">
        <f>HYPERLINK("https://docs.wto.org/imrd/directdoc.asp?DDFDocuments/v/G/SPS/NTPKM375.DOC")</f>
        <v>https://docs.wto.org/imrd/directdoc.asp?DDFDocuments/v/G/SPS/NTPKM375.DOC</v>
      </c>
      <c r="N637" s="2" t="str">
        <f>HYPERLINK("http://www.epingalert.org/#/details/G/SPS/N/TPKM/375")</f>
        <v>http://www.epingalert.org/#/details/G/SPS/N/TPKM/375</v>
      </c>
      <c r="O637" s="2"/>
    </row>
    <row r="638" spans="1:15" ht="240" customHeight="1" outlineLevel="1" x14ac:dyDescent="0.25">
      <c r="A638" s="2" t="s">
        <v>18</v>
      </c>
      <c r="B638" s="2" t="s">
        <v>7395</v>
      </c>
      <c r="C638" s="2" t="s">
        <v>7396</v>
      </c>
      <c r="D638" s="2" t="s">
        <v>7397</v>
      </c>
      <c r="E638" s="3">
        <v>42293</v>
      </c>
      <c r="F638" s="2" t="s">
        <v>6809</v>
      </c>
      <c r="G638" s="2" t="s">
        <v>7398</v>
      </c>
      <c r="H638" s="2" t="s">
        <v>2467</v>
      </c>
      <c r="I638" s="2" t="s">
        <v>6811</v>
      </c>
      <c r="J638" s="3">
        <v>42314</v>
      </c>
      <c r="K638" s="2" t="str">
        <f>HYPERLINK("https://docs.wto.org/imrd/directdoc.asp?DDFDocuments/t/G/SPS/NUSA2790.DOC")</f>
        <v>https://docs.wto.org/imrd/directdoc.asp?DDFDocuments/t/G/SPS/NUSA2790.DOC</v>
      </c>
      <c r="L638" s="2" t="str">
        <f>HYPERLINK("https://docs.wto.org/imrd/directdoc.asp?DDFDocuments/u/G/SPS/NUSA2790.DOC")</f>
        <v>https://docs.wto.org/imrd/directdoc.asp?DDFDocuments/u/G/SPS/NUSA2790.DOC</v>
      </c>
      <c r="M638" s="2" t="str">
        <f>HYPERLINK("https://docs.wto.org/imrd/directdoc.asp?DDFDocuments/v/G/SPS/NUSA2790.DOC")</f>
        <v>https://docs.wto.org/imrd/directdoc.asp?DDFDocuments/v/G/SPS/NUSA2790.DOC</v>
      </c>
      <c r="N638" s="2" t="str">
        <f>HYPERLINK("http://www.epingalert.org/#/details/G/SPS/N/USA/2790")</f>
        <v>http://www.epingalert.org/#/details/G/SPS/N/USA/2790</v>
      </c>
      <c r="O638" s="2"/>
    </row>
    <row r="639" spans="1:15" ht="240" customHeight="1" outlineLevel="1" x14ac:dyDescent="0.25">
      <c r="A639" s="2" t="s">
        <v>1908</v>
      </c>
      <c r="B639" s="2" t="s">
        <v>3508</v>
      </c>
      <c r="C639" s="2"/>
      <c r="D639" s="2"/>
      <c r="E639" s="3">
        <v>42293</v>
      </c>
      <c r="F639" s="2" t="s">
        <v>3509</v>
      </c>
      <c r="G639" s="2"/>
      <c r="H639" s="2" t="s">
        <v>2425</v>
      </c>
      <c r="I639" s="2" t="s">
        <v>2444</v>
      </c>
      <c r="J639" s="2"/>
      <c r="K639" s="2" t="str">
        <f>HYPERLINK("https://docs.wto.org/imrd/directdoc.asp?DDFDocuments/t/G/SPS/NCAN942A1.DOC")</f>
        <v>https://docs.wto.org/imrd/directdoc.asp?DDFDocuments/t/G/SPS/NCAN942A1.DOC</v>
      </c>
      <c r="L639" s="2" t="str">
        <f>HYPERLINK("https://docs.wto.org/imrd/directdoc.asp?DDFDocuments/u/G/SPS/NCAN942A1.DOC")</f>
        <v>https://docs.wto.org/imrd/directdoc.asp?DDFDocuments/u/G/SPS/NCAN942A1.DOC</v>
      </c>
      <c r="M639" s="2" t="str">
        <f>HYPERLINK("https://docs.wto.org/imrd/directdoc.asp?DDFDocuments/v/G/SPS/NCAN942A1.DOC")</f>
        <v>https://docs.wto.org/imrd/directdoc.asp?DDFDocuments/v/G/SPS/NCAN942A1.DOC</v>
      </c>
      <c r="N639" s="2" t="str">
        <f>HYPERLINK("http://www.epingalert.org/#/details/G/SPS/N/CAN/942/Add.1")</f>
        <v>http://www.epingalert.org/#/details/G/SPS/N/CAN/942/Add.1</v>
      </c>
      <c r="O639" s="2"/>
    </row>
    <row r="640" spans="1:15" ht="240" customHeight="1" outlineLevel="1" x14ac:dyDescent="0.25">
      <c r="A640" s="2" t="s">
        <v>1908</v>
      </c>
      <c r="B640" s="2" t="s">
        <v>3510</v>
      </c>
      <c r="C640" s="2"/>
      <c r="D640" s="2"/>
      <c r="E640" s="3">
        <v>42293</v>
      </c>
      <c r="F640" s="2" t="s">
        <v>3511</v>
      </c>
      <c r="G640" s="2"/>
      <c r="H640" s="2" t="s">
        <v>2425</v>
      </c>
      <c r="I640" s="2" t="s">
        <v>2444</v>
      </c>
      <c r="J640" s="2"/>
      <c r="K640" s="2" t="str">
        <f>HYPERLINK("https://docs.wto.org/imrd/directdoc.asp?DDFDocuments/t/G/SPS/NCAN941A1.DOC")</f>
        <v>https://docs.wto.org/imrd/directdoc.asp?DDFDocuments/t/G/SPS/NCAN941A1.DOC</v>
      </c>
      <c r="L640" s="2" t="str">
        <f>HYPERLINK("https://docs.wto.org/imrd/directdoc.asp?DDFDocuments/u/G/SPS/NCAN941A1.DOC")</f>
        <v>https://docs.wto.org/imrd/directdoc.asp?DDFDocuments/u/G/SPS/NCAN941A1.DOC</v>
      </c>
      <c r="M640" s="2" t="str">
        <f>HYPERLINK("https://docs.wto.org/imrd/directdoc.asp?DDFDocuments/v/G/SPS/NCAN941A1.DOC")</f>
        <v>https://docs.wto.org/imrd/directdoc.asp?DDFDocuments/v/G/SPS/NCAN941A1.DOC</v>
      </c>
      <c r="N640" s="2" t="str">
        <f>HYPERLINK("http://www.epingalert.org/#/details/G/SPS/N/CAN/941/Add.1")</f>
        <v>http://www.epingalert.org/#/details/G/SPS/N/CAN/941/Add.1</v>
      </c>
      <c r="O640" s="2"/>
    </row>
    <row r="641" spans="1:15" ht="240" customHeight="1" outlineLevel="1" x14ac:dyDescent="0.25">
      <c r="A641" s="2" t="s">
        <v>12</v>
      </c>
      <c r="B641" s="2" t="s">
        <v>7391</v>
      </c>
      <c r="C641" s="2" t="s">
        <v>7392</v>
      </c>
      <c r="D641" s="2" t="s">
        <v>7393</v>
      </c>
      <c r="E641" s="3">
        <v>42293</v>
      </c>
      <c r="F641" s="2" t="s">
        <v>7394</v>
      </c>
      <c r="G641" s="2" t="s">
        <v>2039</v>
      </c>
      <c r="H641" s="2" t="s">
        <v>2425</v>
      </c>
      <c r="I641" s="2" t="s">
        <v>4313</v>
      </c>
      <c r="J641" s="2"/>
      <c r="K641" s="2" t="str">
        <f>HYPERLINK("https://docs.wto.org/imrd/directdoc.asp?DDFDocuments/t/G/SPS/NEU147.DOC")</f>
        <v>https://docs.wto.org/imrd/directdoc.asp?DDFDocuments/t/G/SPS/NEU147.DOC</v>
      </c>
      <c r="L641" s="2" t="str">
        <f>HYPERLINK("https://docs.wto.org/imrd/directdoc.asp?DDFDocuments/u/G/SPS/NEU147.DOC")</f>
        <v>https://docs.wto.org/imrd/directdoc.asp?DDFDocuments/u/G/SPS/NEU147.DOC</v>
      </c>
      <c r="M641" s="2" t="str">
        <f>HYPERLINK("https://docs.wto.org/imrd/directdoc.asp?DDFDocuments/v/G/SPS/NEU147.DOC")</f>
        <v>https://docs.wto.org/imrd/directdoc.asp?DDFDocuments/v/G/SPS/NEU147.DOC</v>
      </c>
      <c r="N641" s="2" t="str">
        <f>HYPERLINK("http://www.epingalert.org/#/details/G/SPS/N/EU/147")</f>
        <v>http://www.epingalert.org/#/details/G/SPS/N/EU/147</v>
      </c>
      <c r="O641" s="2"/>
    </row>
    <row r="642" spans="1:15" ht="240" customHeight="1" outlineLevel="1" x14ac:dyDescent="0.25">
      <c r="A642" s="2" t="s">
        <v>185</v>
      </c>
      <c r="B642" s="2" t="s">
        <v>3517</v>
      </c>
      <c r="C642" s="2" t="s">
        <v>3518</v>
      </c>
      <c r="D642" s="2" t="s">
        <v>3519</v>
      </c>
      <c r="E642" s="3">
        <v>42292</v>
      </c>
      <c r="F642" s="2" t="s">
        <v>583</v>
      </c>
      <c r="G642" s="2" t="s">
        <v>3520</v>
      </c>
      <c r="H642" s="2" t="s">
        <v>2425</v>
      </c>
      <c r="I642" s="2" t="s">
        <v>2461</v>
      </c>
      <c r="J642" s="3">
        <v>42352</v>
      </c>
      <c r="K642" s="2" t="str">
        <f>HYPERLINK("https://docs.wto.org/imrd/directdoc.asp?DDFDocuments/t/G/SPS/NEGY72.DOC")</f>
        <v>https://docs.wto.org/imrd/directdoc.asp?DDFDocuments/t/G/SPS/NEGY72.DOC</v>
      </c>
      <c r="L642" s="2" t="str">
        <f>HYPERLINK("https://docs.wto.org/imrd/directdoc.asp?DDFDocuments/u/G/SPS/NEGY72.DOC")</f>
        <v>https://docs.wto.org/imrd/directdoc.asp?DDFDocuments/u/G/SPS/NEGY72.DOC</v>
      </c>
      <c r="M642" s="2" t="str">
        <f>HYPERLINK("https://docs.wto.org/imrd/directdoc.asp?DDFDocuments/v/G/SPS/NEGY72.DOC")</f>
        <v>https://docs.wto.org/imrd/directdoc.asp?DDFDocuments/v/G/SPS/NEGY72.DOC</v>
      </c>
      <c r="N642" s="2" t="str">
        <f>HYPERLINK("http://www.epingalert.org/#/details/G/SPS/N/EGY/72")</f>
        <v>http://www.epingalert.org/#/details/G/SPS/N/EGY/72</v>
      </c>
      <c r="O642" s="2"/>
    </row>
    <row r="643" spans="1:15" ht="240" customHeight="1" outlineLevel="1" x14ac:dyDescent="0.25">
      <c r="A643" s="2" t="s">
        <v>185</v>
      </c>
      <c r="B643" s="2" t="s">
        <v>3521</v>
      </c>
      <c r="C643" s="2" t="s">
        <v>3522</v>
      </c>
      <c r="D643" s="2" t="s">
        <v>3523</v>
      </c>
      <c r="E643" s="3">
        <v>42292</v>
      </c>
      <c r="F643" s="2" t="s">
        <v>583</v>
      </c>
      <c r="G643" s="2" t="s">
        <v>3520</v>
      </c>
      <c r="H643" s="2" t="s">
        <v>2425</v>
      </c>
      <c r="I643" s="2" t="s">
        <v>2461</v>
      </c>
      <c r="J643" s="3">
        <v>42352</v>
      </c>
      <c r="K643" s="2" t="str">
        <f>HYPERLINK("https://docs.wto.org/imrd/directdoc.asp?DDFDocuments/t/G/SPS/NEGY71.DOC")</f>
        <v>https://docs.wto.org/imrd/directdoc.asp?DDFDocuments/t/G/SPS/NEGY71.DOC</v>
      </c>
      <c r="L643" s="2" t="str">
        <f>HYPERLINK("https://docs.wto.org/imrd/directdoc.asp?DDFDocuments/u/G/SPS/NEGY71.DOC")</f>
        <v>https://docs.wto.org/imrd/directdoc.asp?DDFDocuments/u/G/SPS/NEGY71.DOC</v>
      </c>
      <c r="M643" s="2" t="str">
        <f>HYPERLINK("https://docs.wto.org/imrd/directdoc.asp?DDFDocuments/v/G/SPS/NEGY71.DOC")</f>
        <v>https://docs.wto.org/imrd/directdoc.asp?DDFDocuments/v/G/SPS/NEGY71.DOC</v>
      </c>
      <c r="N643" s="2" t="str">
        <f>HYPERLINK("http://www.epingalert.org/#/details/G/SPS/N/EGY/71")</f>
        <v>http://www.epingalert.org/#/details/G/SPS/N/EGY/71</v>
      </c>
      <c r="O643" s="2"/>
    </row>
    <row r="644" spans="1:15" ht="240" customHeight="1" outlineLevel="1" x14ac:dyDescent="0.25">
      <c r="A644" s="2" t="s">
        <v>185</v>
      </c>
      <c r="B644" s="2" t="s">
        <v>7399</v>
      </c>
      <c r="C644" s="2" t="s">
        <v>7400</v>
      </c>
      <c r="D644" s="2" t="s">
        <v>7401</v>
      </c>
      <c r="E644" s="3">
        <v>42292</v>
      </c>
      <c r="F644" s="2" t="s">
        <v>7402</v>
      </c>
      <c r="G644" s="2" t="s">
        <v>7403</v>
      </c>
      <c r="H644" s="2" t="s">
        <v>2425</v>
      </c>
      <c r="I644" s="2" t="s">
        <v>2461</v>
      </c>
      <c r="J644" s="3">
        <v>42352</v>
      </c>
      <c r="K644" s="2" t="str">
        <f>HYPERLINK("https://docs.wto.org/imrd/directdoc.asp?DDFDocuments/t/G/SPS/NEGY73.DOC")</f>
        <v>https://docs.wto.org/imrd/directdoc.asp?DDFDocuments/t/G/SPS/NEGY73.DOC</v>
      </c>
      <c r="L644" s="2" t="str">
        <f>HYPERLINK("https://docs.wto.org/imrd/directdoc.asp?DDFDocuments/u/G/SPS/NEGY73.DOC")</f>
        <v>https://docs.wto.org/imrd/directdoc.asp?DDFDocuments/u/G/SPS/NEGY73.DOC</v>
      </c>
      <c r="M644" s="2" t="str">
        <f>HYPERLINK("https://docs.wto.org/imrd/directdoc.asp?DDFDocuments/v/G/SPS/NEGY73.DOC")</f>
        <v>https://docs.wto.org/imrd/directdoc.asp?DDFDocuments/v/G/SPS/NEGY73.DOC</v>
      </c>
      <c r="N644" s="2" t="str">
        <f>HYPERLINK("http://www.epingalert.org/#/details/G/SPS/N/EGY/73")</f>
        <v>http://www.epingalert.org/#/details/G/SPS/N/EGY/73</v>
      </c>
      <c r="O644" s="2"/>
    </row>
    <row r="645" spans="1:15" ht="240" customHeight="1" outlineLevel="1" x14ac:dyDescent="0.25">
      <c r="A645" s="2" t="s">
        <v>185</v>
      </c>
      <c r="B645" s="2" t="s">
        <v>7404</v>
      </c>
      <c r="C645" s="2" t="s">
        <v>7405</v>
      </c>
      <c r="D645" s="2" t="s">
        <v>7406</v>
      </c>
      <c r="E645" s="3">
        <v>42292</v>
      </c>
      <c r="F645" s="2" t="s">
        <v>7402</v>
      </c>
      <c r="G645" s="2" t="s">
        <v>7403</v>
      </c>
      <c r="H645" s="2" t="s">
        <v>2425</v>
      </c>
      <c r="I645" s="2" t="s">
        <v>2461</v>
      </c>
      <c r="J645" s="3">
        <v>42352</v>
      </c>
      <c r="K645" s="2" t="str">
        <f>HYPERLINK("https://docs.wto.org/imrd/directdoc.asp?DDFDocuments/t/G/SPS/NEGY70.DOC")</f>
        <v>https://docs.wto.org/imrd/directdoc.asp?DDFDocuments/t/G/SPS/NEGY70.DOC</v>
      </c>
      <c r="L645" s="2" t="str">
        <f>HYPERLINK("https://docs.wto.org/imrd/directdoc.asp?DDFDocuments/u/G/SPS/NEGY70.DOC")</f>
        <v>https://docs.wto.org/imrd/directdoc.asp?DDFDocuments/u/G/SPS/NEGY70.DOC</v>
      </c>
      <c r="M645" s="2" t="str">
        <f>HYPERLINK("https://docs.wto.org/imrd/directdoc.asp?DDFDocuments/v/G/SPS/NEGY70.DOC")</f>
        <v>https://docs.wto.org/imrd/directdoc.asp?DDFDocuments/v/G/SPS/NEGY70.DOC</v>
      </c>
      <c r="N645" s="2" t="str">
        <f>HYPERLINK("http://www.epingalert.org/#/details/G/SPS/N/EGY/70")</f>
        <v>http://www.epingalert.org/#/details/G/SPS/N/EGY/70</v>
      </c>
      <c r="O645" s="2"/>
    </row>
    <row r="646" spans="1:15" ht="240" customHeight="1" outlineLevel="1" x14ac:dyDescent="0.25">
      <c r="A646" s="2" t="s">
        <v>225</v>
      </c>
      <c r="B646" s="2" t="s">
        <v>3524</v>
      </c>
      <c r="C646" s="2" t="s">
        <v>3525</v>
      </c>
      <c r="D646" s="2" t="s">
        <v>2494</v>
      </c>
      <c r="E646" s="3">
        <v>42291</v>
      </c>
      <c r="F646" s="2" t="s">
        <v>2430</v>
      </c>
      <c r="G646" s="2"/>
      <c r="H646" s="2" t="s">
        <v>2425</v>
      </c>
      <c r="I646" s="2" t="s">
        <v>2431</v>
      </c>
      <c r="J646" s="3">
        <v>42349</v>
      </c>
      <c r="K646" s="2" t="str">
        <f>HYPERLINK("https://docs.wto.org/imrd/directdoc.asp?DDFDocuments/t/G/SPS/NAUS372.DOC")</f>
        <v>https://docs.wto.org/imrd/directdoc.asp?DDFDocuments/t/G/SPS/NAUS372.DOC</v>
      </c>
      <c r="L646" s="2" t="str">
        <f>HYPERLINK("https://docs.wto.org/imrd/directdoc.asp?DDFDocuments/u/G/SPS/NAUS372.DOC")</f>
        <v>https://docs.wto.org/imrd/directdoc.asp?DDFDocuments/u/G/SPS/NAUS372.DOC</v>
      </c>
      <c r="M646" s="2" t="str">
        <f>HYPERLINK("https://docs.wto.org/imrd/directdoc.asp?DDFDocuments/v/G/SPS/NAUS372.DOC")</f>
        <v>https://docs.wto.org/imrd/directdoc.asp?DDFDocuments/v/G/SPS/NAUS372.DOC</v>
      </c>
      <c r="N646" s="2" t="str">
        <f>HYPERLINK("http://www.epingalert.org/#/details/G/SPS/N/AUS/372")</f>
        <v>http://www.epingalert.org/#/details/G/SPS/N/AUS/372</v>
      </c>
      <c r="O646" s="2"/>
    </row>
    <row r="647" spans="1:15" ht="240" customHeight="1" outlineLevel="1" x14ac:dyDescent="0.25">
      <c r="A647" s="2" t="s">
        <v>225</v>
      </c>
      <c r="B647" s="2" t="s">
        <v>7412</v>
      </c>
      <c r="C647" s="2" t="s">
        <v>7413</v>
      </c>
      <c r="D647" s="2" t="s">
        <v>7410</v>
      </c>
      <c r="E647" s="3">
        <v>42286</v>
      </c>
      <c r="F647" s="2" t="s">
        <v>7414</v>
      </c>
      <c r="G647" s="2" t="s">
        <v>2790</v>
      </c>
      <c r="H647" s="2" t="s">
        <v>2425</v>
      </c>
      <c r="I647" s="2" t="s">
        <v>2461</v>
      </c>
      <c r="J647" s="3">
        <v>42349</v>
      </c>
      <c r="K647" s="2" t="str">
        <f>HYPERLINK("https://docs.wto.org/imrd/directdoc.asp?DDFDocuments/t/G/SPS/NAUS371.DOC")</f>
        <v>https://docs.wto.org/imrd/directdoc.asp?DDFDocuments/t/G/SPS/NAUS371.DOC</v>
      </c>
      <c r="L647" s="2" t="str">
        <f>HYPERLINK("https://docs.wto.org/imrd/directdoc.asp?DDFDocuments/u/G/SPS/NAUS371.DOC")</f>
        <v>https://docs.wto.org/imrd/directdoc.asp?DDFDocuments/u/G/SPS/NAUS371.DOC</v>
      </c>
      <c r="M647" s="2" t="str">
        <f>HYPERLINK("https://docs.wto.org/imrd/directdoc.asp?DDFDocuments/v/G/SPS/NAUS371.DOC")</f>
        <v>https://docs.wto.org/imrd/directdoc.asp?DDFDocuments/v/G/SPS/NAUS371.DOC</v>
      </c>
      <c r="N647" s="2" t="str">
        <f>HYPERLINK("http://www.epingalert.org/#/details/G/SPS/N/AUS/371")</f>
        <v>http://www.epingalert.org/#/details/G/SPS/N/AUS/371</v>
      </c>
      <c r="O647" s="2"/>
    </row>
    <row r="648" spans="1:15" ht="240" customHeight="1" outlineLevel="1" x14ac:dyDescent="0.25">
      <c r="A648" s="2" t="s">
        <v>211</v>
      </c>
      <c r="B648" s="2" t="s">
        <v>3526</v>
      </c>
      <c r="C648" s="2" t="s">
        <v>3527</v>
      </c>
      <c r="D648" s="2" t="s">
        <v>3528</v>
      </c>
      <c r="E648" s="3">
        <v>42286</v>
      </c>
      <c r="F648" s="2" t="s">
        <v>3529</v>
      </c>
      <c r="G648" s="2"/>
      <c r="H648" s="2" t="s">
        <v>2425</v>
      </c>
      <c r="I648" s="2" t="s">
        <v>2461</v>
      </c>
      <c r="J648" s="3">
        <v>42346</v>
      </c>
      <c r="K648" s="2" t="str">
        <f>HYPERLINK("https://docs.wto.org/imrd/directdoc.asp?DDFDocuments/t/G/SPS/NNZL525.DOC")</f>
        <v>https://docs.wto.org/imrd/directdoc.asp?DDFDocuments/t/G/SPS/NNZL525.DOC</v>
      </c>
      <c r="L648" s="2" t="str">
        <f>HYPERLINK("https://docs.wto.org/imrd/directdoc.asp?DDFDocuments/u/G/SPS/NNZL525.DOC")</f>
        <v>https://docs.wto.org/imrd/directdoc.asp?DDFDocuments/u/G/SPS/NNZL525.DOC</v>
      </c>
      <c r="M648" s="2" t="str">
        <f>HYPERLINK("https://docs.wto.org/imrd/directdoc.asp?DDFDocuments/v/G/SPS/NNZL525.DOC")</f>
        <v>https://docs.wto.org/imrd/directdoc.asp?DDFDocuments/v/G/SPS/NNZL525.DOC</v>
      </c>
      <c r="N648" s="2" t="str">
        <f>HYPERLINK("http://www.epingalert.org/#/details/G/SPS/N/NZL/525")</f>
        <v>http://www.epingalert.org/#/details/G/SPS/N/NZL/525</v>
      </c>
      <c r="O648" s="2"/>
    </row>
    <row r="649" spans="1:15" ht="240" customHeight="1" outlineLevel="1" x14ac:dyDescent="0.25">
      <c r="A649" s="2" t="s">
        <v>211</v>
      </c>
      <c r="B649" s="2" t="s">
        <v>7408</v>
      </c>
      <c r="C649" s="2" t="s">
        <v>7409</v>
      </c>
      <c r="D649" s="2" t="s">
        <v>7410</v>
      </c>
      <c r="E649" s="3">
        <v>42286</v>
      </c>
      <c r="F649" s="2" t="s">
        <v>7411</v>
      </c>
      <c r="G649" s="2" t="s">
        <v>2790</v>
      </c>
      <c r="H649" s="2" t="s">
        <v>2425</v>
      </c>
      <c r="I649" s="2" t="s">
        <v>4622</v>
      </c>
      <c r="J649" s="3">
        <v>42346</v>
      </c>
      <c r="K649" s="2" t="str">
        <f>HYPERLINK("https://docs.wto.org/imrd/directdoc.asp?DDFDocuments/t/G/SPS/NNZL524.DOC")</f>
        <v>https://docs.wto.org/imrd/directdoc.asp?DDFDocuments/t/G/SPS/NNZL524.DOC</v>
      </c>
      <c r="L649" s="2" t="str">
        <f>HYPERLINK("https://docs.wto.org/imrd/directdoc.asp?DDFDocuments/u/G/SPS/NNZL524.DOC")</f>
        <v>https://docs.wto.org/imrd/directdoc.asp?DDFDocuments/u/G/SPS/NNZL524.DOC</v>
      </c>
      <c r="M649" s="2" t="str">
        <f>HYPERLINK("https://docs.wto.org/imrd/directdoc.asp?DDFDocuments/v/G/SPS/NNZL524.DOC")</f>
        <v>https://docs.wto.org/imrd/directdoc.asp?DDFDocuments/v/G/SPS/NNZL524.DOC</v>
      </c>
      <c r="N649" s="2" t="str">
        <f>HYPERLINK("http://www.epingalert.org/#/details/G/SPS/N/NZL/524")</f>
        <v>http://www.epingalert.org/#/details/G/SPS/N/NZL/524</v>
      </c>
      <c r="O649" s="2"/>
    </row>
    <row r="650" spans="1:15" ht="240" customHeight="1" outlineLevel="1" x14ac:dyDescent="0.25">
      <c r="A650" s="2" t="s">
        <v>42</v>
      </c>
      <c r="B650" s="2" t="s">
        <v>3530</v>
      </c>
      <c r="C650" s="2" t="s">
        <v>3531</v>
      </c>
      <c r="D650" s="2" t="s">
        <v>3532</v>
      </c>
      <c r="E650" s="3">
        <v>42286</v>
      </c>
      <c r="F650" s="2" t="s">
        <v>3533</v>
      </c>
      <c r="G650" s="2"/>
      <c r="H650" s="2" t="s">
        <v>2425</v>
      </c>
      <c r="I650" s="2" t="s">
        <v>2453</v>
      </c>
      <c r="J650" s="3">
        <v>42313</v>
      </c>
      <c r="K650" s="2" t="str">
        <f>HYPERLINK("https://docs.wto.org/imrd/directdoc.asp?DDFDocuments/t/G/SPS/NBRA1070.DOC")</f>
        <v>https://docs.wto.org/imrd/directdoc.asp?DDFDocuments/t/G/SPS/NBRA1070.DOC</v>
      </c>
      <c r="L650" s="2" t="str">
        <f>HYPERLINK("https://docs.wto.org/imrd/directdoc.asp?DDFDocuments/u/G/SPS/NBRA1070.DOC")</f>
        <v>https://docs.wto.org/imrd/directdoc.asp?DDFDocuments/u/G/SPS/NBRA1070.DOC</v>
      </c>
      <c r="M650" s="2" t="str">
        <f>HYPERLINK("https://docs.wto.org/imrd/directdoc.asp?DDFDocuments/v/G/SPS/NBRA1070.DOC")</f>
        <v>https://docs.wto.org/imrd/directdoc.asp?DDFDocuments/v/G/SPS/NBRA1070.DOC</v>
      </c>
      <c r="N650" s="2" t="str">
        <f>HYPERLINK("http://www.epingalert.org/#/details/G/SPS/N/BRA/1070")</f>
        <v>http://www.epingalert.org/#/details/G/SPS/N/BRA/1070</v>
      </c>
      <c r="O650" s="2"/>
    </row>
    <row r="651" spans="1:15" ht="240" customHeight="1" outlineLevel="1" x14ac:dyDescent="0.25">
      <c r="A651" s="2" t="s">
        <v>42</v>
      </c>
      <c r="B651" s="2" t="s">
        <v>3534</v>
      </c>
      <c r="C651" s="2" t="s">
        <v>3535</v>
      </c>
      <c r="D651" s="2" t="s">
        <v>3536</v>
      </c>
      <c r="E651" s="3">
        <v>42286</v>
      </c>
      <c r="F651" s="2" t="s">
        <v>3537</v>
      </c>
      <c r="G651" s="2"/>
      <c r="H651" s="2" t="s">
        <v>2425</v>
      </c>
      <c r="I651" s="2" t="s">
        <v>2453</v>
      </c>
      <c r="J651" s="3">
        <v>42313</v>
      </c>
      <c r="K651" s="2" t="str">
        <f>HYPERLINK("https://docs.wto.org/imrd/directdoc.asp?DDFDocuments/t/G/SPS/NBRA1069.DOC")</f>
        <v>https://docs.wto.org/imrd/directdoc.asp?DDFDocuments/t/G/SPS/NBRA1069.DOC</v>
      </c>
      <c r="L651" s="2" t="str">
        <f>HYPERLINK("https://docs.wto.org/imrd/directdoc.asp?DDFDocuments/u/G/SPS/NBRA1069.DOC")</f>
        <v>https://docs.wto.org/imrd/directdoc.asp?DDFDocuments/u/G/SPS/NBRA1069.DOC</v>
      </c>
      <c r="M651" s="2" t="str">
        <f>HYPERLINK("https://docs.wto.org/imrd/directdoc.asp?DDFDocuments/v/G/SPS/NBRA1069.DOC")</f>
        <v>https://docs.wto.org/imrd/directdoc.asp?DDFDocuments/v/G/SPS/NBRA1069.DOC</v>
      </c>
      <c r="N651" s="2" t="str">
        <f>HYPERLINK("http://www.epingalert.org/#/details/G/SPS/N/BRA/1069")</f>
        <v>http://www.epingalert.org/#/details/G/SPS/N/BRA/1069</v>
      </c>
      <c r="O651" s="2"/>
    </row>
    <row r="652" spans="1:15" ht="240" customHeight="1" outlineLevel="1" x14ac:dyDescent="0.25">
      <c r="A652" s="2" t="s">
        <v>42</v>
      </c>
      <c r="B652" s="2" t="s">
        <v>3538</v>
      </c>
      <c r="C652" s="2" t="s">
        <v>3539</v>
      </c>
      <c r="D652" s="2" t="s">
        <v>3540</v>
      </c>
      <c r="E652" s="3">
        <v>42286</v>
      </c>
      <c r="F652" s="2" t="s">
        <v>3541</v>
      </c>
      <c r="G652" s="2"/>
      <c r="H652" s="2" t="s">
        <v>2425</v>
      </c>
      <c r="I652" s="2" t="s">
        <v>2453</v>
      </c>
      <c r="J652" s="3">
        <v>42313</v>
      </c>
      <c r="K652" s="2" t="str">
        <f>HYPERLINK("https://docs.wto.org/imrd/directdoc.asp?DDFDocuments/t/G/SPS/NBRA1067.DOC")</f>
        <v>https://docs.wto.org/imrd/directdoc.asp?DDFDocuments/t/G/SPS/NBRA1067.DOC</v>
      </c>
      <c r="L652" s="2" t="str">
        <f>HYPERLINK("https://docs.wto.org/imrd/directdoc.asp?DDFDocuments/u/G/SPS/NBRA1067.DOC")</f>
        <v>https://docs.wto.org/imrd/directdoc.asp?DDFDocuments/u/G/SPS/NBRA1067.DOC</v>
      </c>
      <c r="M652" s="2" t="str">
        <f>HYPERLINK("https://docs.wto.org/imrd/directdoc.asp?DDFDocuments/v/G/SPS/NBRA1067.DOC")</f>
        <v>https://docs.wto.org/imrd/directdoc.asp?DDFDocuments/v/G/SPS/NBRA1067.DOC</v>
      </c>
      <c r="N652" s="2" t="str">
        <f>HYPERLINK("http://www.epingalert.org/#/details/G/SPS/N/BRA/1067")</f>
        <v>http://www.epingalert.org/#/details/G/SPS/N/BRA/1067</v>
      </c>
      <c r="O652" s="2"/>
    </row>
    <row r="653" spans="1:15" ht="240" customHeight="1" outlineLevel="1" x14ac:dyDescent="0.25">
      <c r="A653" s="2" t="s">
        <v>77</v>
      </c>
      <c r="B653" s="2" t="s">
        <v>3543</v>
      </c>
      <c r="C653" s="2" t="s">
        <v>3544</v>
      </c>
      <c r="D653" s="2" t="s">
        <v>3545</v>
      </c>
      <c r="E653" s="3">
        <v>42282</v>
      </c>
      <c r="F653" s="2" t="s">
        <v>3546</v>
      </c>
      <c r="G653" s="2" t="s">
        <v>3547</v>
      </c>
      <c r="H653" s="2" t="s">
        <v>2425</v>
      </c>
      <c r="I653" s="2" t="s">
        <v>2461</v>
      </c>
      <c r="J653" s="3">
        <v>42342</v>
      </c>
      <c r="K653" s="2" t="str">
        <f>HYPERLINK("https://docs.wto.org/imrd/directdoc.asp?DDFDocuments/t/G/SPS/NTPKM374.DOC")</f>
        <v>https://docs.wto.org/imrd/directdoc.asp?DDFDocuments/t/G/SPS/NTPKM374.DOC</v>
      </c>
      <c r="L653" s="2" t="str">
        <f>HYPERLINK("https://docs.wto.org/imrd/directdoc.asp?DDFDocuments/u/G/SPS/NTPKM374.DOC")</f>
        <v>https://docs.wto.org/imrd/directdoc.asp?DDFDocuments/u/G/SPS/NTPKM374.DOC</v>
      </c>
      <c r="M653" s="2" t="str">
        <f>HYPERLINK("https://docs.wto.org/imrd/directdoc.asp?DDFDocuments/v/G/SPS/NTPKM374.DOC")</f>
        <v>https://docs.wto.org/imrd/directdoc.asp?DDFDocuments/v/G/SPS/NTPKM374.DOC</v>
      </c>
      <c r="N653" s="2" t="str">
        <f>HYPERLINK("http://www.epingalert.org/#/details/G/SPS/N/TPKM/374")</f>
        <v>http://www.epingalert.org/#/details/G/SPS/N/TPKM/374</v>
      </c>
      <c r="O653" s="2"/>
    </row>
    <row r="654" spans="1:15" ht="240" customHeight="1" outlineLevel="1" x14ac:dyDescent="0.25">
      <c r="A654" s="2" t="s">
        <v>282</v>
      </c>
      <c r="B654" s="2" t="s">
        <v>7418</v>
      </c>
      <c r="C654" s="2" t="s">
        <v>7419</v>
      </c>
      <c r="D654" s="2" t="s">
        <v>7420</v>
      </c>
      <c r="E654" s="3">
        <v>42282</v>
      </c>
      <c r="F654" s="2" t="s">
        <v>7421</v>
      </c>
      <c r="G654" s="2" t="s">
        <v>7422</v>
      </c>
      <c r="H654" s="2" t="s">
        <v>2467</v>
      </c>
      <c r="I654" s="2" t="s">
        <v>7423</v>
      </c>
      <c r="J654" s="3">
        <v>42342</v>
      </c>
      <c r="K654" s="2" t="str">
        <f>HYPERLINK("https://docs.wto.org/imrd/directdoc.asp?DDFDocuments/t/G/SPS/NRUS110.DOC")</f>
        <v>https://docs.wto.org/imrd/directdoc.asp?DDFDocuments/t/G/SPS/NRUS110.DOC</v>
      </c>
      <c r="L654" s="2" t="str">
        <f>HYPERLINK("https://docs.wto.org/imrd/directdoc.asp?DDFDocuments/u/G/SPS/NRUS110.DOC")</f>
        <v>https://docs.wto.org/imrd/directdoc.asp?DDFDocuments/u/G/SPS/NRUS110.DOC</v>
      </c>
      <c r="M654" s="2" t="str">
        <f>HYPERLINK("https://docs.wto.org/imrd/directdoc.asp?DDFDocuments/v/G/SPS/NRUS110.DOC")</f>
        <v>https://docs.wto.org/imrd/directdoc.asp?DDFDocuments/v/G/SPS/NRUS110.DOC</v>
      </c>
      <c r="N654" s="2" t="str">
        <f>HYPERLINK("http://www.epingalert.org/#/details/G/SPS/N/RUS/110")</f>
        <v>http://www.epingalert.org/#/details/G/SPS/N/RUS/110</v>
      </c>
      <c r="O654" s="2"/>
    </row>
    <row r="655" spans="1:15" ht="240" customHeight="1" outlineLevel="1" x14ac:dyDescent="0.25">
      <c r="A655" s="2" t="s">
        <v>282</v>
      </c>
      <c r="B655" s="2" t="s">
        <v>7424</v>
      </c>
      <c r="C655" s="2" t="s">
        <v>7425</v>
      </c>
      <c r="D655" s="2" t="s">
        <v>7426</v>
      </c>
      <c r="E655" s="3">
        <v>42282</v>
      </c>
      <c r="F655" s="2" t="s">
        <v>7427</v>
      </c>
      <c r="G655" s="2" t="s">
        <v>7428</v>
      </c>
      <c r="H655" s="2" t="s">
        <v>2467</v>
      </c>
      <c r="I655" s="2" t="s">
        <v>7423</v>
      </c>
      <c r="J655" s="3">
        <v>42342</v>
      </c>
      <c r="K655" s="2" t="str">
        <f>HYPERLINK("https://docs.wto.org/imrd/directdoc.asp?DDFDocuments/t/G/SPS/NRUS109.DOC")</f>
        <v>https://docs.wto.org/imrd/directdoc.asp?DDFDocuments/t/G/SPS/NRUS109.DOC</v>
      </c>
      <c r="L655" s="2" t="str">
        <f>HYPERLINK("https://docs.wto.org/imrd/directdoc.asp?DDFDocuments/u/G/SPS/NRUS109.DOC")</f>
        <v>https://docs.wto.org/imrd/directdoc.asp?DDFDocuments/u/G/SPS/NRUS109.DOC</v>
      </c>
      <c r="M655" s="2" t="str">
        <f>HYPERLINK("https://docs.wto.org/imrd/directdoc.asp?DDFDocuments/v/G/SPS/NRUS109.DOC")</f>
        <v>https://docs.wto.org/imrd/directdoc.asp?DDFDocuments/v/G/SPS/NRUS109.DOC</v>
      </c>
      <c r="N655" s="2" t="str">
        <f>HYPERLINK("http://www.epingalert.org/#/details/G/SPS/N/RUS/109")</f>
        <v>http://www.epingalert.org/#/details/G/SPS/N/RUS/109</v>
      </c>
      <c r="O655" s="2"/>
    </row>
    <row r="656" spans="1:15" ht="240" customHeight="1" outlineLevel="1" x14ac:dyDescent="0.25">
      <c r="A656" s="2" t="s">
        <v>18</v>
      </c>
      <c r="B656" s="2" t="s">
        <v>3542</v>
      </c>
      <c r="C656" s="2"/>
      <c r="D656" s="2"/>
      <c r="E656" s="3">
        <v>42282</v>
      </c>
      <c r="F656" s="2" t="s">
        <v>3215</v>
      </c>
      <c r="G656" s="2" t="s">
        <v>1646</v>
      </c>
      <c r="H656" s="2"/>
      <c r="I656" s="2" t="s">
        <v>2444</v>
      </c>
      <c r="J656" s="2"/>
      <c r="K656" s="2" t="str">
        <f>HYPERLINK("https://docs.wto.org/imrd/directdoc.asp?DDFDocuments/t/G/SPS/NUSA2754A1.DOC")</f>
        <v>https://docs.wto.org/imrd/directdoc.asp?DDFDocuments/t/G/SPS/NUSA2754A1.DOC</v>
      </c>
      <c r="L656" s="2" t="str">
        <f>HYPERLINK("https://docs.wto.org/imrd/directdoc.asp?DDFDocuments/u/G/SPS/NUSA2754A1.DOC")</f>
        <v>https://docs.wto.org/imrd/directdoc.asp?DDFDocuments/u/G/SPS/NUSA2754A1.DOC</v>
      </c>
      <c r="M656" s="2" t="str">
        <f>HYPERLINK("https://docs.wto.org/imrd/directdoc.asp?DDFDocuments/v/G/SPS/NUSA2754A1.DOC")</f>
        <v>https://docs.wto.org/imrd/directdoc.asp?DDFDocuments/v/G/SPS/NUSA2754A1.DOC</v>
      </c>
      <c r="N656" s="2" t="str">
        <f>HYPERLINK("http://www.epingalert.org/#/details/G/SPS/N/USA/2754/Add.1")</f>
        <v>http://www.epingalert.org/#/details/G/SPS/N/USA/2754/Add.1</v>
      </c>
      <c r="O656" s="2"/>
    </row>
    <row r="657" spans="1:15" ht="240" customHeight="1" outlineLevel="1" x14ac:dyDescent="0.25">
      <c r="A657" s="2" t="s">
        <v>128</v>
      </c>
      <c r="B657" s="2" t="s">
        <v>7415</v>
      </c>
      <c r="C657" s="2"/>
      <c r="D657" s="2"/>
      <c r="E657" s="3">
        <v>42282</v>
      </c>
      <c r="F657" s="2"/>
      <c r="G657" s="2" t="s">
        <v>7416</v>
      </c>
      <c r="H657" s="2" t="s">
        <v>6741</v>
      </c>
      <c r="I657" s="2" t="s">
        <v>7417</v>
      </c>
      <c r="J657" s="2"/>
      <c r="K657" s="2" t="str">
        <f>HYPERLINK("https://docs.wto.org/imrd/directdoc.asp?DDFDocuments/t/G/SPS/NPER620.DOC")</f>
        <v>https://docs.wto.org/imrd/directdoc.asp?DDFDocuments/t/G/SPS/NPER620.DOC</v>
      </c>
      <c r="L657" s="2" t="str">
        <f>HYPERLINK("https://docs.wto.org/imrd/directdoc.asp?DDFDocuments/u/G/SPS/NPER620.DOC")</f>
        <v>https://docs.wto.org/imrd/directdoc.asp?DDFDocuments/u/G/SPS/NPER620.DOC</v>
      </c>
      <c r="M657" s="2" t="str">
        <f>HYPERLINK("https://docs.wto.org/imrd/directdoc.asp?DDFDocuments/v/G/SPS/NPER620.DOC")</f>
        <v>https://docs.wto.org/imrd/directdoc.asp?DDFDocuments/v/G/SPS/NPER620.DOC</v>
      </c>
      <c r="N657" s="2" t="str">
        <f>HYPERLINK("http://www.epingalert.org/#/details/G/SPS/N/PER/620")</f>
        <v>http://www.epingalert.org/#/details/G/SPS/N/PER/620</v>
      </c>
      <c r="O657" s="2"/>
    </row>
    <row r="658" spans="1:15" ht="240" customHeight="1" outlineLevel="1" x14ac:dyDescent="0.25">
      <c r="A658" s="2" t="s">
        <v>12</v>
      </c>
      <c r="B658" s="2" t="s">
        <v>7429</v>
      </c>
      <c r="C658" s="2" t="s">
        <v>7430</v>
      </c>
      <c r="D658" s="2" t="s">
        <v>7431</v>
      </c>
      <c r="E658" s="3">
        <v>42279</v>
      </c>
      <c r="F658" s="2" t="s">
        <v>7432</v>
      </c>
      <c r="G658" s="2" t="s">
        <v>7433</v>
      </c>
      <c r="H658" s="2" t="s">
        <v>2425</v>
      </c>
      <c r="I658" s="2" t="s">
        <v>7434</v>
      </c>
      <c r="J658" s="2"/>
      <c r="K658" s="2" t="str">
        <f>HYPERLINK("https://docs.wto.org/imrd/directdoc.asp?DDFDocuments/t/G/SPS/NEU146.DOC")</f>
        <v>https://docs.wto.org/imrd/directdoc.asp?DDFDocuments/t/G/SPS/NEU146.DOC</v>
      </c>
      <c r="L658" s="2" t="str">
        <f>HYPERLINK("https://docs.wto.org/imrd/directdoc.asp?DDFDocuments/u/G/SPS/NEU146.DOC")</f>
        <v>https://docs.wto.org/imrd/directdoc.asp?DDFDocuments/u/G/SPS/NEU146.DOC</v>
      </c>
      <c r="M658" s="2" t="str">
        <f>HYPERLINK("https://docs.wto.org/imrd/directdoc.asp?DDFDocuments/v/G/SPS/NEU146.DOC")</f>
        <v>https://docs.wto.org/imrd/directdoc.asp?DDFDocuments/v/G/SPS/NEU146.DOC</v>
      </c>
      <c r="N658" s="2" t="str">
        <f>HYPERLINK("http://www.epingalert.org/#/details/G/SPS/N/EU/146")</f>
        <v>http://www.epingalert.org/#/details/G/SPS/N/EU/146</v>
      </c>
      <c r="O658" s="2"/>
    </row>
    <row r="659" spans="1:15" ht="240" customHeight="1" outlineLevel="1" x14ac:dyDescent="0.25">
      <c r="A659" s="2" t="s">
        <v>25</v>
      </c>
      <c r="B659" s="2" t="s">
        <v>3548</v>
      </c>
      <c r="C659" s="2" t="s">
        <v>3549</v>
      </c>
      <c r="D659" s="2" t="s">
        <v>3550</v>
      </c>
      <c r="E659" s="3">
        <v>42278</v>
      </c>
      <c r="F659" s="2" t="s">
        <v>3551</v>
      </c>
      <c r="G659" s="2"/>
      <c r="H659" s="2" t="s">
        <v>2425</v>
      </c>
      <c r="I659" s="2" t="s">
        <v>2535</v>
      </c>
      <c r="J659" s="3">
        <v>42338</v>
      </c>
      <c r="K659" s="2" t="str">
        <f>HYPERLINK("https://docs.wto.org/imrd/directdoc.asp?DDFDocuments/t/G/SPS/NKOR518.DOC")</f>
        <v>https://docs.wto.org/imrd/directdoc.asp?DDFDocuments/t/G/SPS/NKOR518.DOC</v>
      </c>
      <c r="L659" s="2" t="str">
        <f>HYPERLINK("https://docs.wto.org/imrd/directdoc.asp?DDFDocuments/u/G/SPS/NKOR518.DOC")</f>
        <v>https://docs.wto.org/imrd/directdoc.asp?DDFDocuments/u/G/SPS/NKOR518.DOC</v>
      </c>
      <c r="M659" s="2" t="str">
        <f>HYPERLINK("https://docs.wto.org/imrd/directdoc.asp?DDFDocuments/v/G/SPS/NKOR518.DOC")</f>
        <v>https://docs.wto.org/imrd/directdoc.asp?DDFDocuments/v/G/SPS/NKOR518.DOC</v>
      </c>
      <c r="N659" s="2" t="str">
        <f>HYPERLINK("http://www.epingalert.org/#/details/G/SPS/N/KOR/518")</f>
        <v>http://www.epingalert.org/#/details/G/SPS/N/KOR/518</v>
      </c>
      <c r="O659" s="2"/>
    </row>
    <row r="660" spans="1:15" ht="240" customHeight="1" outlineLevel="1" x14ac:dyDescent="0.25">
      <c r="A660" s="2" t="s">
        <v>3577</v>
      </c>
      <c r="B660" s="2" t="s">
        <v>7435</v>
      </c>
      <c r="C660" s="2" t="s">
        <v>7436</v>
      </c>
      <c r="D660" s="2" t="s">
        <v>7437</v>
      </c>
      <c r="E660" s="3">
        <v>42277</v>
      </c>
      <c r="F660" s="2" t="s">
        <v>7438</v>
      </c>
      <c r="G660" s="2" t="s">
        <v>7439</v>
      </c>
      <c r="H660" s="2" t="s">
        <v>6982</v>
      </c>
      <c r="I660" s="2" t="s">
        <v>7440</v>
      </c>
      <c r="J660" s="2"/>
      <c r="K660" s="2" t="str">
        <f>HYPERLINK("https://docs.wto.org/imrd/directdoc.asp?DDFDocuments/t/G/SPS/NNGA16.DOC")</f>
        <v>https://docs.wto.org/imrd/directdoc.asp?DDFDocuments/t/G/SPS/NNGA16.DOC</v>
      </c>
      <c r="L660" s="2" t="str">
        <f>HYPERLINK("https://docs.wto.org/imrd/directdoc.asp?DDFDocuments/u/G/SPS/NNGA16.DOC")</f>
        <v>https://docs.wto.org/imrd/directdoc.asp?DDFDocuments/u/G/SPS/NNGA16.DOC</v>
      </c>
      <c r="M660" s="2" t="str">
        <f>HYPERLINK("https://docs.wto.org/imrd/directdoc.asp?DDFDocuments/v/G/SPS/NNGA16.DOC")</f>
        <v>https://docs.wto.org/imrd/directdoc.asp?DDFDocuments/v/G/SPS/NNGA16.DOC</v>
      </c>
      <c r="N660" s="2" t="str">
        <f>HYPERLINK("http://www.epingalert.org/#/details/G/SPS/N/NGA/16")</f>
        <v>http://www.epingalert.org/#/details/G/SPS/N/NGA/16</v>
      </c>
      <c r="O660" s="2"/>
    </row>
    <row r="661" spans="1:15" ht="240" customHeight="1" outlineLevel="1" x14ac:dyDescent="0.25">
      <c r="A661" s="2" t="s">
        <v>42</v>
      </c>
      <c r="B661" s="2" t="s">
        <v>3552</v>
      </c>
      <c r="C661" s="2" t="s">
        <v>3553</v>
      </c>
      <c r="D661" s="2" t="s">
        <v>3554</v>
      </c>
      <c r="E661" s="3">
        <v>42276</v>
      </c>
      <c r="F661" s="2" t="s">
        <v>3555</v>
      </c>
      <c r="G661" s="2"/>
      <c r="H661" s="2" t="s">
        <v>2425</v>
      </c>
      <c r="I661" s="2" t="s">
        <v>2453</v>
      </c>
      <c r="J661" s="3">
        <v>42300</v>
      </c>
      <c r="K661" s="2" t="str">
        <f>HYPERLINK("https://docs.wto.org/imrd/directdoc.asp?DDFDocuments/t/G/SPS/NBRA1065.DOC")</f>
        <v>https://docs.wto.org/imrd/directdoc.asp?DDFDocuments/t/G/SPS/NBRA1065.DOC</v>
      </c>
      <c r="L661" s="2" t="str">
        <f>HYPERLINK("https://docs.wto.org/imrd/directdoc.asp?DDFDocuments/u/G/SPS/NBRA1065.DOC")</f>
        <v>https://docs.wto.org/imrd/directdoc.asp?DDFDocuments/u/G/SPS/NBRA1065.DOC</v>
      </c>
      <c r="M661" s="2" t="str">
        <f>HYPERLINK("https://docs.wto.org/imrd/directdoc.asp?DDFDocuments/v/G/SPS/NBRA1065.DOC")</f>
        <v>https://docs.wto.org/imrd/directdoc.asp?DDFDocuments/v/G/SPS/NBRA1065.DOC</v>
      </c>
      <c r="N661" s="2" t="str">
        <f>HYPERLINK("http://www.epingalert.org/#/details/G/SPS/N/BRA/1065")</f>
        <v>http://www.epingalert.org/#/details/G/SPS/N/BRA/1065</v>
      </c>
      <c r="O661" s="2"/>
    </row>
    <row r="662" spans="1:15" ht="240" customHeight="1" outlineLevel="1" x14ac:dyDescent="0.25">
      <c r="A662" s="2" t="s">
        <v>42</v>
      </c>
      <c r="B662" s="2" t="s">
        <v>3556</v>
      </c>
      <c r="C662" s="2" t="s">
        <v>3557</v>
      </c>
      <c r="D662" s="2" t="s">
        <v>3558</v>
      </c>
      <c r="E662" s="3">
        <v>42276</v>
      </c>
      <c r="F662" s="2" t="s">
        <v>3559</v>
      </c>
      <c r="G662" s="2"/>
      <c r="H662" s="2" t="s">
        <v>2425</v>
      </c>
      <c r="I662" s="2" t="s">
        <v>2453</v>
      </c>
      <c r="J662" s="3">
        <v>42300</v>
      </c>
      <c r="K662" s="2" t="str">
        <f>HYPERLINK("https://docs.wto.org/imrd/directdoc.asp?DDFDocuments/t/G/SPS/NBRA1060.DOC")</f>
        <v>https://docs.wto.org/imrd/directdoc.asp?DDFDocuments/t/G/SPS/NBRA1060.DOC</v>
      </c>
      <c r="L662" s="2" t="str">
        <f>HYPERLINK("https://docs.wto.org/imrd/directdoc.asp?DDFDocuments/u/G/SPS/NBRA1060.DOC")</f>
        <v>https://docs.wto.org/imrd/directdoc.asp?DDFDocuments/u/G/SPS/NBRA1060.DOC</v>
      </c>
      <c r="M662" s="2" t="str">
        <f>HYPERLINK("https://docs.wto.org/imrd/directdoc.asp?DDFDocuments/v/G/SPS/NBRA1060.DOC")</f>
        <v>https://docs.wto.org/imrd/directdoc.asp?DDFDocuments/v/G/SPS/NBRA1060.DOC</v>
      </c>
      <c r="N662" s="2" t="str">
        <f>HYPERLINK("http://www.epingalert.org/#/details/G/SPS/N/BRA/1060")</f>
        <v>http://www.epingalert.org/#/details/G/SPS/N/BRA/1060</v>
      </c>
      <c r="O662" s="2"/>
    </row>
    <row r="663" spans="1:15" ht="240" customHeight="1" outlineLevel="1" x14ac:dyDescent="0.25">
      <c r="A663" s="2" t="s">
        <v>6732</v>
      </c>
      <c r="B663" s="2" t="s">
        <v>7441</v>
      </c>
      <c r="C663" s="2"/>
      <c r="D663" s="2"/>
      <c r="E663" s="3">
        <v>42276</v>
      </c>
      <c r="F663" s="2" t="s">
        <v>7442</v>
      </c>
      <c r="G663" s="2" t="s">
        <v>7443</v>
      </c>
      <c r="H663" s="2" t="s">
        <v>2573</v>
      </c>
      <c r="I663" s="2" t="s">
        <v>2444</v>
      </c>
      <c r="J663" s="2"/>
      <c r="K663" s="2" t="str">
        <f>HYPERLINK("https://docs.wto.org/imrd/directdoc.asp?DDFDocuments/t/G/SPS/NCOL128A1.DOC")</f>
        <v>https://docs.wto.org/imrd/directdoc.asp?DDFDocuments/t/G/SPS/NCOL128A1.DOC</v>
      </c>
      <c r="L663" s="2" t="str">
        <f>HYPERLINK("https://docs.wto.org/imrd/directdoc.asp?DDFDocuments/u/G/SPS/NCOL128A1.DOC")</f>
        <v>https://docs.wto.org/imrd/directdoc.asp?DDFDocuments/u/G/SPS/NCOL128A1.DOC</v>
      </c>
      <c r="M663" s="2" t="str">
        <f>HYPERLINK("https://docs.wto.org/imrd/directdoc.asp?DDFDocuments/v/G/SPS/NCOL128A1.DOC")</f>
        <v>https://docs.wto.org/imrd/directdoc.asp?DDFDocuments/v/G/SPS/NCOL128A1.DOC</v>
      </c>
      <c r="N663" s="2" t="str">
        <f>HYPERLINK("http://www.epingalert.org/#/details/G/SPS/N/COL/128/Add.1")</f>
        <v>http://www.epingalert.org/#/details/G/SPS/N/COL/128/Add.1</v>
      </c>
      <c r="O663" s="2"/>
    </row>
    <row r="664" spans="1:15" ht="240" customHeight="1" outlineLevel="1" x14ac:dyDescent="0.25">
      <c r="A664" s="2" t="s">
        <v>184</v>
      </c>
      <c r="B664" s="2" t="s">
        <v>7444</v>
      </c>
      <c r="C664" s="2" t="s">
        <v>7445</v>
      </c>
      <c r="D664" s="2" t="s">
        <v>7310</v>
      </c>
      <c r="E664" s="3">
        <v>42275</v>
      </c>
      <c r="F664" s="2" t="s">
        <v>7446</v>
      </c>
      <c r="G664" s="2" t="s">
        <v>6712</v>
      </c>
      <c r="H664" s="2" t="s">
        <v>2648</v>
      </c>
      <c r="I664" s="2" t="s">
        <v>7020</v>
      </c>
      <c r="J664" s="3">
        <v>42335</v>
      </c>
      <c r="K664" s="2" t="str">
        <f>HYPERLINK("https://docs.wto.org/imrd/directdoc.asp?DDFDocuments/t/G/SPS/NARE58.DOC")</f>
        <v>https://docs.wto.org/imrd/directdoc.asp?DDFDocuments/t/G/SPS/NARE58.DOC</v>
      </c>
      <c r="L664" s="2" t="str">
        <f>HYPERLINK("https://docs.wto.org/imrd/directdoc.asp?DDFDocuments/u/G/SPS/NARE58.DOC")</f>
        <v>https://docs.wto.org/imrd/directdoc.asp?DDFDocuments/u/G/SPS/NARE58.DOC</v>
      </c>
      <c r="M664" s="2" t="str">
        <f>HYPERLINK("https://docs.wto.org/imrd/directdoc.asp?DDFDocuments/v/G/SPS/NARE58.DOC")</f>
        <v>https://docs.wto.org/imrd/directdoc.asp?DDFDocuments/v/G/SPS/NARE58.DOC</v>
      </c>
      <c r="N664" s="2" t="str">
        <f>HYPERLINK("http://www.epingalert.org/#/details/G/SPS/N/ARE/58")</f>
        <v>http://www.epingalert.org/#/details/G/SPS/N/ARE/58</v>
      </c>
      <c r="O664" s="2"/>
    </row>
    <row r="665" spans="1:15" ht="240" customHeight="1" outlineLevel="1" x14ac:dyDescent="0.25">
      <c r="A665" s="2" t="s">
        <v>154</v>
      </c>
      <c r="B665" s="2" t="s">
        <v>3560</v>
      </c>
      <c r="C665" s="2" t="s">
        <v>3561</v>
      </c>
      <c r="D665" s="2" t="s">
        <v>3562</v>
      </c>
      <c r="E665" s="3">
        <v>42275</v>
      </c>
      <c r="F665" s="2" t="s">
        <v>3563</v>
      </c>
      <c r="G665" s="2"/>
      <c r="H665" s="2" t="s">
        <v>2425</v>
      </c>
      <c r="I665" s="2" t="s">
        <v>2426</v>
      </c>
      <c r="J665" s="2"/>
      <c r="K665" s="2" t="str">
        <f>HYPERLINK("https://docs.wto.org/imrd/directdoc.asp?DDFDocuments/t/G/SPS/NIDN104.DOC")</f>
        <v>https://docs.wto.org/imrd/directdoc.asp?DDFDocuments/t/G/SPS/NIDN104.DOC</v>
      </c>
      <c r="L665" s="2" t="str">
        <f>HYPERLINK("https://docs.wto.org/imrd/directdoc.asp?DDFDocuments/u/G/SPS/NIDN104.DOC")</f>
        <v>https://docs.wto.org/imrd/directdoc.asp?DDFDocuments/u/G/SPS/NIDN104.DOC</v>
      </c>
      <c r="M665" s="2" t="str">
        <f>HYPERLINK("https://docs.wto.org/imrd/directdoc.asp?DDFDocuments/v/G/SPS/NIDN104.DOC")</f>
        <v>https://docs.wto.org/imrd/directdoc.asp?DDFDocuments/v/G/SPS/NIDN104.DOC</v>
      </c>
      <c r="N665" s="2" t="str">
        <f>HYPERLINK("http://www.epingalert.org/#/details/G/SPS/N/IDN/104")</f>
        <v>http://www.epingalert.org/#/details/G/SPS/N/IDN/104</v>
      </c>
      <c r="O665" s="2"/>
    </row>
    <row r="666" spans="1:15" ht="240" customHeight="1" outlineLevel="1" x14ac:dyDescent="0.25">
      <c r="A666" s="2" t="s">
        <v>12</v>
      </c>
      <c r="B666" s="2" t="s">
        <v>3564</v>
      </c>
      <c r="C666" s="2"/>
      <c r="D666" s="2"/>
      <c r="E666" s="3">
        <v>42272</v>
      </c>
      <c r="F666" s="2" t="s">
        <v>2451</v>
      </c>
      <c r="G666" s="2" t="s">
        <v>3565</v>
      </c>
      <c r="H666" s="2" t="s">
        <v>2425</v>
      </c>
      <c r="I666" s="2" t="s">
        <v>2491</v>
      </c>
      <c r="J666" s="3">
        <v>42332</v>
      </c>
      <c r="K666" s="2" t="str">
        <f>HYPERLINK("https://docs.wto.org/imrd/directdoc.asp?DDFDocuments/t/G/SPS/NEU136A1.DOC")</f>
        <v>https://docs.wto.org/imrd/directdoc.asp?DDFDocuments/t/G/SPS/NEU136A1.DOC</v>
      </c>
      <c r="L666" s="2" t="str">
        <f>HYPERLINK("https://docs.wto.org/imrd/directdoc.asp?DDFDocuments/u/G/SPS/NEU136A1.DOC")</f>
        <v>https://docs.wto.org/imrd/directdoc.asp?DDFDocuments/u/G/SPS/NEU136A1.DOC</v>
      </c>
      <c r="M666" s="2" t="str">
        <f>HYPERLINK("https://docs.wto.org/imrd/directdoc.asp?DDFDocuments/v/G/SPS/NEU136A1.DOC")</f>
        <v>https://docs.wto.org/imrd/directdoc.asp?DDFDocuments/v/G/SPS/NEU136A1.DOC</v>
      </c>
      <c r="N666" s="2" t="str">
        <f>HYPERLINK("http://www.epingalert.org/#/details/G/SPS/N/EU/136/Add.1")</f>
        <v>http://www.epingalert.org/#/details/G/SPS/N/EU/136/Add.1</v>
      </c>
      <c r="O666" s="2"/>
    </row>
    <row r="667" spans="1:15" ht="240" customHeight="1" outlineLevel="1" x14ac:dyDescent="0.25">
      <c r="A667" s="2" t="s">
        <v>42</v>
      </c>
      <c r="B667" s="2" t="s">
        <v>3566</v>
      </c>
      <c r="C667" s="2" t="s">
        <v>3567</v>
      </c>
      <c r="D667" s="2" t="s">
        <v>3568</v>
      </c>
      <c r="E667" s="3">
        <v>42272</v>
      </c>
      <c r="F667" s="2" t="s">
        <v>3569</v>
      </c>
      <c r="G667" s="2"/>
      <c r="H667" s="2" t="s">
        <v>2425</v>
      </c>
      <c r="I667" s="2" t="s">
        <v>2453</v>
      </c>
      <c r="J667" s="3">
        <v>42300</v>
      </c>
      <c r="K667" s="2" t="str">
        <f>HYPERLINK("https://docs.wto.org/imrd/directdoc.asp?DDFDocuments/t/G/SPS/NBRA1059.DOC")</f>
        <v>https://docs.wto.org/imrd/directdoc.asp?DDFDocuments/t/G/SPS/NBRA1059.DOC</v>
      </c>
      <c r="L667" s="2" t="str">
        <f>HYPERLINK("https://docs.wto.org/imrd/directdoc.asp?DDFDocuments/u/G/SPS/NBRA1059.DOC")</f>
        <v>https://docs.wto.org/imrd/directdoc.asp?DDFDocuments/u/G/SPS/NBRA1059.DOC</v>
      </c>
      <c r="M667" s="2" t="str">
        <f>HYPERLINK("https://docs.wto.org/imrd/directdoc.asp?DDFDocuments/v/G/SPS/NBRA1059.DOC")</f>
        <v>https://docs.wto.org/imrd/directdoc.asp?DDFDocuments/v/G/SPS/NBRA1059.DOC</v>
      </c>
      <c r="N667" s="2" t="str">
        <f>HYPERLINK("http://www.epingalert.org/#/details/G/SPS/N/BRA/1059")</f>
        <v>http://www.epingalert.org/#/details/G/SPS/N/BRA/1059</v>
      </c>
      <c r="O667" s="2"/>
    </row>
    <row r="668" spans="1:15" ht="240" customHeight="1" outlineLevel="1" x14ac:dyDescent="0.25">
      <c r="A668" s="2" t="s">
        <v>42</v>
      </c>
      <c r="B668" s="2" t="s">
        <v>3570</v>
      </c>
      <c r="C668" s="2" t="s">
        <v>3571</v>
      </c>
      <c r="D668" s="2" t="s">
        <v>3572</v>
      </c>
      <c r="E668" s="3">
        <v>42272</v>
      </c>
      <c r="F668" s="2" t="s">
        <v>3572</v>
      </c>
      <c r="G668" s="2"/>
      <c r="H668" s="2" t="s">
        <v>2425</v>
      </c>
      <c r="I668" s="2" t="s">
        <v>2453</v>
      </c>
      <c r="J668" s="3">
        <v>42277</v>
      </c>
      <c r="K668" s="2" t="str">
        <f>HYPERLINK("https://docs.wto.org/imrd/directdoc.asp?DDFDocuments/t/G/SPS/NBRA1057.DOC")</f>
        <v>https://docs.wto.org/imrd/directdoc.asp?DDFDocuments/t/G/SPS/NBRA1057.DOC</v>
      </c>
      <c r="L668" s="2" t="str">
        <f>HYPERLINK("https://docs.wto.org/imrd/directdoc.asp?DDFDocuments/u/G/SPS/NBRA1057.DOC")</f>
        <v>https://docs.wto.org/imrd/directdoc.asp?DDFDocuments/u/G/SPS/NBRA1057.DOC</v>
      </c>
      <c r="M668" s="2" t="str">
        <f>HYPERLINK("https://docs.wto.org/imrd/directdoc.asp?DDFDocuments/v/G/SPS/NBRA1057.DOC")</f>
        <v>https://docs.wto.org/imrd/directdoc.asp?DDFDocuments/v/G/SPS/NBRA1057.DOC</v>
      </c>
      <c r="N668" s="2" t="str">
        <f>HYPERLINK("http://www.epingalert.org/#/details/G/SPS/N/BRA/1057")</f>
        <v>http://www.epingalert.org/#/details/G/SPS/N/BRA/1057</v>
      </c>
      <c r="O668" s="2"/>
    </row>
    <row r="669" spans="1:15" ht="240" customHeight="1" outlineLevel="1" x14ac:dyDescent="0.25">
      <c r="A669" s="2" t="s">
        <v>77</v>
      </c>
      <c r="B669" s="2" t="s">
        <v>3573</v>
      </c>
      <c r="C669" s="2" t="s">
        <v>3574</v>
      </c>
      <c r="D669" s="2" t="s">
        <v>3575</v>
      </c>
      <c r="E669" s="3">
        <v>42271</v>
      </c>
      <c r="F669" s="2" t="s">
        <v>3576</v>
      </c>
      <c r="G669" s="2" t="s">
        <v>2039</v>
      </c>
      <c r="H669" s="2" t="s">
        <v>2467</v>
      </c>
      <c r="I669" s="2" t="s">
        <v>2467</v>
      </c>
      <c r="J669" s="3">
        <v>42331</v>
      </c>
      <c r="K669" s="2" t="str">
        <f>HYPERLINK("https://docs.wto.org/imrd/directdoc.asp?DDFDocuments/t/G/SPS/NTPKM370.DOC")</f>
        <v>https://docs.wto.org/imrd/directdoc.asp?DDFDocuments/t/G/SPS/NTPKM370.DOC</v>
      </c>
      <c r="L669" s="2" t="str">
        <f>HYPERLINK("https://docs.wto.org/imrd/directdoc.asp?DDFDocuments/u/G/SPS/NTPKM370.DOC")</f>
        <v>https://docs.wto.org/imrd/directdoc.asp?DDFDocuments/u/G/SPS/NTPKM370.DOC</v>
      </c>
      <c r="M669" s="2" t="str">
        <f>HYPERLINK("https://docs.wto.org/imrd/directdoc.asp?DDFDocuments/v/G/SPS/NTPKM370.DOC")</f>
        <v>https://docs.wto.org/imrd/directdoc.asp?DDFDocuments/v/G/SPS/NTPKM370.DOC</v>
      </c>
      <c r="N669" s="2" t="str">
        <f>HYPERLINK("http://www.epingalert.org/#/details/G/SPS/N/TPKM/370")</f>
        <v>http://www.epingalert.org/#/details/G/SPS/N/TPKM/370</v>
      </c>
      <c r="O669" s="2"/>
    </row>
    <row r="670" spans="1:15" ht="240" customHeight="1" outlineLevel="1" x14ac:dyDescent="0.25">
      <c r="A670" s="2" t="s">
        <v>77</v>
      </c>
      <c r="B670" s="2" t="s">
        <v>7449</v>
      </c>
      <c r="C670" s="2" t="s">
        <v>7450</v>
      </c>
      <c r="D670" s="2" t="s">
        <v>7451</v>
      </c>
      <c r="E670" s="3">
        <v>42271</v>
      </c>
      <c r="F670" s="2" t="s">
        <v>7452</v>
      </c>
      <c r="G670" s="2" t="s">
        <v>2039</v>
      </c>
      <c r="H670" s="2" t="s">
        <v>2467</v>
      </c>
      <c r="I670" s="2" t="s">
        <v>7423</v>
      </c>
      <c r="J670" s="3">
        <v>42331</v>
      </c>
      <c r="K670" s="2" t="str">
        <f>HYPERLINK("https://docs.wto.org/imrd/directdoc.asp?DDFDocuments/t/G/SPS/NTPKM373.DOC")</f>
        <v>https://docs.wto.org/imrd/directdoc.asp?DDFDocuments/t/G/SPS/NTPKM373.DOC</v>
      </c>
      <c r="L670" s="2" t="str">
        <f>HYPERLINK("https://docs.wto.org/imrd/directdoc.asp?DDFDocuments/u/G/SPS/NTPKM373.DOC")</f>
        <v>https://docs.wto.org/imrd/directdoc.asp?DDFDocuments/u/G/SPS/NTPKM373.DOC</v>
      </c>
      <c r="M670" s="2" t="str">
        <f>HYPERLINK("https://docs.wto.org/imrd/directdoc.asp?DDFDocuments/v/G/SPS/NTPKM373.DOC")</f>
        <v>https://docs.wto.org/imrd/directdoc.asp?DDFDocuments/v/G/SPS/NTPKM373.DOC</v>
      </c>
      <c r="N670" s="2" t="str">
        <f>HYPERLINK("http://www.epingalert.org/#/details/G/SPS/N/TPKM/373")</f>
        <v>http://www.epingalert.org/#/details/G/SPS/N/TPKM/373</v>
      </c>
      <c r="O670" s="2"/>
    </row>
    <row r="671" spans="1:15" ht="240" customHeight="1" outlineLevel="1" x14ac:dyDescent="0.25">
      <c r="A671" s="2" t="s">
        <v>77</v>
      </c>
      <c r="B671" s="2" t="s">
        <v>7453</v>
      </c>
      <c r="C671" s="2" t="s">
        <v>7454</v>
      </c>
      <c r="D671" s="2" t="s">
        <v>7455</v>
      </c>
      <c r="E671" s="3">
        <v>42271</v>
      </c>
      <c r="F671" s="2" t="s">
        <v>7452</v>
      </c>
      <c r="G671" s="2" t="s">
        <v>2039</v>
      </c>
      <c r="H671" s="2" t="s">
        <v>2467</v>
      </c>
      <c r="I671" s="2" t="s">
        <v>7423</v>
      </c>
      <c r="J671" s="3">
        <v>42331</v>
      </c>
      <c r="K671" s="2" t="str">
        <f>HYPERLINK("https://docs.wto.org/imrd/directdoc.asp?DDFDocuments/t/G/SPS/NTPKM372.DOC")</f>
        <v>https://docs.wto.org/imrd/directdoc.asp?DDFDocuments/t/G/SPS/NTPKM372.DOC</v>
      </c>
      <c r="L671" s="2" t="str">
        <f>HYPERLINK("https://docs.wto.org/imrd/directdoc.asp?DDFDocuments/u/G/SPS/NTPKM372.DOC")</f>
        <v>https://docs.wto.org/imrd/directdoc.asp?DDFDocuments/u/G/SPS/NTPKM372.DOC</v>
      </c>
      <c r="M671" s="2" t="str">
        <f>HYPERLINK("https://docs.wto.org/imrd/directdoc.asp?DDFDocuments/v/G/SPS/NTPKM372.DOC")</f>
        <v>https://docs.wto.org/imrd/directdoc.asp?DDFDocuments/v/G/SPS/NTPKM372.DOC</v>
      </c>
      <c r="N671" s="2" t="str">
        <f>HYPERLINK("http://www.epingalert.org/#/details/G/SPS/N/TPKM/372")</f>
        <v>http://www.epingalert.org/#/details/G/SPS/N/TPKM/372</v>
      </c>
      <c r="O671" s="2"/>
    </row>
    <row r="672" spans="1:15" ht="240" customHeight="1" outlineLevel="1" x14ac:dyDescent="0.25">
      <c r="A672" s="2" t="s">
        <v>77</v>
      </c>
      <c r="B672" s="2" t="s">
        <v>7456</v>
      </c>
      <c r="C672" s="2" t="s">
        <v>7457</v>
      </c>
      <c r="D672" s="2" t="s">
        <v>7458</v>
      </c>
      <c r="E672" s="3">
        <v>42271</v>
      </c>
      <c r="F672" s="2" t="s">
        <v>7452</v>
      </c>
      <c r="G672" s="2" t="s">
        <v>2039</v>
      </c>
      <c r="H672" s="2" t="s">
        <v>2467</v>
      </c>
      <c r="I672" s="2" t="s">
        <v>7423</v>
      </c>
      <c r="J672" s="3">
        <v>42331</v>
      </c>
      <c r="K672" s="2" t="str">
        <f>HYPERLINK("https://docs.wto.org/imrd/directdoc.asp?DDFDocuments/t/G/SPS/NTPKM371.DOC")</f>
        <v>https://docs.wto.org/imrd/directdoc.asp?DDFDocuments/t/G/SPS/NTPKM371.DOC</v>
      </c>
      <c r="L672" s="2" t="str">
        <f>HYPERLINK("https://docs.wto.org/imrd/directdoc.asp?DDFDocuments/u/G/SPS/NTPKM371.DOC")</f>
        <v>https://docs.wto.org/imrd/directdoc.asp?DDFDocuments/u/G/SPS/NTPKM371.DOC</v>
      </c>
      <c r="M672" s="2" t="str">
        <f>HYPERLINK("https://docs.wto.org/imrd/directdoc.asp?DDFDocuments/v/G/SPS/NTPKM371.DOC")</f>
        <v>https://docs.wto.org/imrd/directdoc.asp?DDFDocuments/v/G/SPS/NTPKM371.DOC</v>
      </c>
      <c r="N672" s="2" t="str">
        <f>HYPERLINK("http://www.epingalert.org/#/details/G/SPS/N/TPKM/371")</f>
        <v>http://www.epingalert.org/#/details/G/SPS/N/TPKM/371</v>
      </c>
      <c r="O672" s="2"/>
    </row>
    <row r="673" spans="1:15" ht="240" customHeight="1" outlineLevel="1" x14ac:dyDescent="0.25">
      <c r="A673" s="2" t="s">
        <v>225</v>
      </c>
      <c r="B673" s="2" t="s">
        <v>7447</v>
      </c>
      <c r="C673" s="2"/>
      <c r="D673" s="2"/>
      <c r="E673" s="3">
        <v>42271</v>
      </c>
      <c r="F673" s="2" t="s">
        <v>7448</v>
      </c>
      <c r="G673" s="2" t="s">
        <v>6227</v>
      </c>
      <c r="H673" s="2" t="s">
        <v>2467</v>
      </c>
      <c r="I673" s="2" t="s">
        <v>2784</v>
      </c>
      <c r="J673" s="2"/>
      <c r="K673" s="2" t="str">
        <f>HYPERLINK("https://docs.wto.org/imrd/directdoc.asp?DDFDocuments/t/G/SPS/NAUS150A2.DOC")</f>
        <v>https://docs.wto.org/imrd/directdoc.asp?DDFDocuments/t/G/SPS/NAUS150A2.DOC</v>
      </c>
      <c r="L673" s="2" t="str">
        <f>HYPERLINK("https://docs.wto.org/imrd/directdoc.asp?DDFDocuments/u/G/SPS/NAUS150A2.DOC")</f>
        <v>https://docs.wto.org/imrd/directdoc.asp?DDFDocuments/u/G/SPS/NAUS150A2.DOC</v>
      </c>
      <c r="M673" s="2" t="str">
        <f>HYPERLINK("https://docs.wto.org/imrd/directdoc.asp?DDFDocuments/v/G/SPS/NAUS150A2.DOC")</f>
        <v>https://docs.wto.org/imrd/directdoc.asp?DDFDocuments/v/G/SPS/NAUS150A2.DOC</v>
      </c>
      <c r="N673" s="2" t="str">
        <f>HYPERLINK("http://www.epingalert.org/#/details/G/SPS/N/AUS/150/Add.2")</f>
        <v>http://www.epingalert.org/#/details/G/SPS/N/AUS/150/Add.2</v>
      </c>
      <c r="O673" s="2"/>
    </row>
    <row r="674" spans="1:15" ht="240" customHeight="1" outlineLevel="1" x14ac:dyDescent="0.25">
      <c r="A674" s="2" t="s">
        <v>3577</v>
      </c>
      <c r="B674" s="2" t="s">
        <v>3578</v>
      </c>
      <c r="C674" s="2" t="s">
        <v>3579</v>
      </c>
      <c r="D674" s="2" t="s">
        <v>3580</v>
      </c>
      <c r="E674" s="3">
        <v>42270</v>
      </c>
      <c r="F674" s="2" t="s">
        <v>3581</v>
      </c>
      <c r="G674" s="2" t="s">
        <v>3582</v>
      </c>
      <c r="H674" s="2" t="s">
        <v>3583</v>
      </c>
      <c r="I674" s="2" t="s">
        <v>3584</v>
      </c>
      <c r="J674" s="2"/>
      <c r="K674" s="2" t="str">
        <f>HYPERLINK("https://docs.wto.org/imrd/directdoc.asp?DDFDocuments/t/G/SPS/NNGA13.DOC")</f>
        <v>https://docs.wto.org/imrd/directdoc.asp?DDFDocuments/t/G/SPS/NNGA13.DOC</v>
      </c>
      <c r="L674" s="2" t="str">
        <f>HYPERLINK("https://docs.wto.org/imrd/directdoc.asp?DDFDocuments/u/G/SPS/NNGA13.DOC")</f>
        <v>https://docs.wto.org/imrd/directdoc.asp?DDFDocuments/u/G/SPS/NNGA13.DOC</v>
      </c>
      <c r="M674" s="2" t="str">
        <f>HYPERLINK("https://docs.wto.org/imrd/directdoc.asp?DDFDocuments/v/G/SPS/NNGA13.DOC")</f>
        <v>https://docs.wto.org/imrd/directdoc.asp?DDFDocuments/v/G/SPS/NNGA13.DOC</v>
      </c>
      <c r="N674" s="2" t="str">
        <f>HYPERLINK("http://www.epingalert.org/#/details/G/SPS/N/NGA/13")</f>
        <v>http://www.epingalert.org/#/details/G/SPS/N/NGA/13</v>
      </c>
      <c r="O674" s="2"/>
    </row>
    <row r="675" spans="1:15" ht="240" customHeight="1" outlineLevel="1" x14ac:dyDescent="0.25">
      <c r="A675" s="2" t="s">
        <v>3577</v>
      </c>
      <c r="B675" s="2" t="s">
        <v>3585</v>
      </c>
      <c r="C675" s="2" t="s">
        <v>3586</v>
      </c>
      <c r="D675" s="2" t="s">
        <v>3587</v>
      </c>
      <c r="E675" s="3">
        <v>42270</v>
      </c>
      <c r="F675" s="2" t="s">
        <v>3588</v>
      </c>
      <c r="G675" s="2"/>
      <c r="H675" s="2" t="s">
        <v>2425</v>
      </c>
      <c r="I675" s="2" t="s">
        <v>2566</v>
      </c>
      <c r="J675" s="2"/>
      <c r="K675" s="2" t="str">
        <f>HYPERLINK("https://docs.wto.org/imrd/directdoc.asp?DDFDocuments/t/G/SPS/NNGA11.DOC")</f>
        <v>https://docs.wto.org/imrd/directdoc.asp?DDFDocuments/t/G/SPS/NNGA11.DOC</v>
      </c>
      <c r="L675" s="2" t="str">
        <f>HYPERLINK("https://docs.wto.org/imrd/directdoc.asp?DDFDocuments/u/G/SPS/NNGA11.DOC")</f>
        <v>https://docs.wto.org/imrd/directdoc.asp?DDFDocuments/u/G/SPS/NNGA11.DOC</v>
      </c>
      <c r="M675" s="2" t="str">
        <f>HYPERLINK("https://docs.wto.org/imrd/directdoc.asp?DDFDocuments/v/G/SPS/NNGA11.DOC")</f>
        <v>https://docs.wto.org/imrd/directdoc.asp?DDFDocuments/v/G/SPS/NNGA11.DOC</v>
      </c>
      <c r="N675" s="2" t="str">
        <f>HYPERLINK("http://www.epingalert.org/#/details/G/SPS/N/NGA/11")</f>
        <v>http://www.epingalert.org/#/details/G/SPS/N/NGA/11</v>
      </c>
      <c r="O675" s="2"/>
    </row>
    <row r="676" spans="1:15" ht="240" customHeight="1" outlineLevel="1" x14ac:dyDescent="0.25">
      <c r="A676" s="2" t="s">
        <v>3577</v>
      </c>
      <c r="B676" s="2" t="s">
        <v>3589</v>
      </c>
      <c r="C676" s="2" t="s">
        <v>3590</v>
      </c>
      <c r="D676" s="2" t="s">
        <v>3591</v>
      </c>
      <c r="E676" s="3">
        <v>42270</v>
      </c>
      <c r="F676" s="2" t="s">
        <v>2606</v>
      </c>
      <c r="G676" s="2"/>
      <c r="H676" s="2" t="s">
        <v>2425</v>
      </c>
      <c r="I676" s="2" t="s">
        <v>2426</v>
      </c>
      <c r="J676" s="2"/>
      <c r="K676" s="2" t="str">
        <f>HYPERLINK("https://docs.wto.org/imrd/directdoc.asp?DDFDocuments/t/G/SPS/NNGA14.DOC")</f>
        <v>https://docs.wto.org/imrd/directdoc.asp?DDFDocuments/t/G/SPS/NNGA14.DOC</v>
      </c>
      <c r="L676" s="2" t="str">
        <f>HYPERLINK("https://docs.wto.org/imrd/directdoc.asp?DDFDocuments/u/G/SPS/NNGA14.DOC")</f>
        <v>https://docs.wto.org/imrd/directdoc.asp?DDFDocuments/u/G/SPS/NNGA14.DOC</v>
      </c>
      <c r="M676" s="2" t="str">
        <f>HYPERLINK("https://docs.wto.org/imrd/directdoc.asp?DDFDocuments/v/G/SPS/NNGA14.DOC")</f>
        <v>https://docs.wto.org/imrd/directdoc.asp?DDFDocuments/v/G/SPS/NNGA14.DOC</v>
      </c>
      <c r="N676" s="2" t="str">
        <f>HYPERLINK("http://www.epingalert.org/#/details/G/SPS/N/NGA/14")</f>
        <v>http://www.epingalert.org/#/details/G/SPS/N/NGA/14</v>
      </c>
      <c r="O676" s="2"/>
    </row>
    <row r="677" spans="1:15" ht="240" customHeight="1" outlineLevel="1" x14ac:dyDescent="0.25">
      <c r="A677" s="2" t="s">
        <v>3577</v>
      </c>
      <c r="B677" s="2" t="s">
        <v>6618</v>
      </c>
      <c r="C677" s="2" t="s">
        <v>6619</v>
      </c>
      <c r="D677" s="2" t="s">
        <v>6620</v>
      </c>
      <c r="E677" s="3">
        <v>42270</v>
      </c>
      <c r="F677" s="2" t="s">
        <v>6621</v>
      </c>
      <c r="G677" s="2" t="s">
        <v>6622</v>
      </c>
      <c r="H677" s="2" t="s">
        <v>2425</v>
      </c>
      <c r="I677" s="2" t="s">
        <v>4406</v>
      </c>
      <c r="J677" s="2"/>
      <c r="K677" s="2" t="str">
        <f>HYPERLINK("https://docs.wto.org/imrd/directdoc.asp?DDFDocuments/t/G/SPS/NNGA12.DOC")</f>
        <v>https://docs.wto.org/imrd/directdoc.asp?DDFDocuments/t/G/SPS/NNGA12.DOC</v>
      </c>
      <c r="L677" s="2" t="str">
        <f>HYPERLINK("https://docs.wto.org/imrd/directdoc.asp?DDFDocuments/u/G/SPS/NNGA12.DOC")</f>
        <v>https://docs.wto.org/imrd/directdoc.asp?DDFDocuments/u/G/SPS/NNGA12.DOC</v>
      </c>
      <c r="M677" s="2" t="str">
        <f>HYPERLINK("https://docs.wto.org/imrd/directdoc.asp?DDFDocuments/v/G/SPS/NNGA12.DOC")</f>
        <v>https://docs.wto.org/imrd/directdoc.asp?DDFDocuments/v/G/SPS/NNGA12.DOC</v>
      </c>
      <c r="N677" s="2" t="str">
        <f>HYPERLINK("http://www.epingalert.org/#/details/G/SPS/N/NGA/12")</f>
        <v>http://www.epingalert.org/#/details/G/SPS/N/NGA/12</v>
      </c>
      <c r="O677" s="2"/>
    </row>
    <row r="678" spans="1:15" ht="240" customHeight="1" outlineLevel="1" x14ac:dyDescent="0.25">
      <c r="A678" s="2" t="s">
        <v>7459</v>
      </c>
      <c r="B678" s="2" t="s">
        <v>7460</v>
      </c>
      <c r="C678" s="2"/>
      <c r="D678" s="2"/>
      <c r="E678" s="3">
        <v>42269</v>
      </c>
      <c r="F678" s="2"/>
      <c r="G678" s="2" t="s">
        <v>7461</v>
      </c>
      <c r="H678" s="2" t="s">
        <v>2425</v>
      </c>
      <c r="I678" s="2" t="s">
        <v>2426</v>
      </c>
      <c r="J678" s="2"/>
      <c r="K678" s="2" t="str">
        <f>HYPERLINK("https://docs.wto.org/imrd/directdoc.asp?DDFDocuments/t/G/SPS/NHTI1.DOC")</f>
        <v>https://docs.wto.org/imrd/directdoc.asp?DDFDocuments/t/G/SPS/NHTI1.DOC</v>
      </c>
      <c r="L678" s="2" t="str">
        <f>HYPERLINK("https://docs.wto.org/imrd/directdoc.asp?DDFDocuments/u/G/SPS/NHTI1.DOC")</f>
        <v>https://docs.wto.org/imrd/directdoc.asp?DDFDocuments/u/G/SPS/NHTI1.DOC</v>
      </c>
      <c r="M678" s="2" t="str">
        <f>HYPERLINK("https://docs.wto.org/imrd/directdoc.asp?DDFDocuments/v/G/SPS/NHTI1.DOC")</f>
        <v>https://docs.wto.org/imrd/directdoc.asp?DDFDocuments/v/G/SPS/NHTI1.DOC</v>
      </c>
      <c r="N678" s="2" t="str">
        <f>HYPERLINK("http://www.epingalert.org/#/details/G/SPS/N/HTI/1")</f>
        <v>http://www.epingalert.org/#/details/G/SPS/N/HTI/1</v>
      </c>
      <c r="O678" s="2"/>
    </row>
    <row r="679" spans="1:15" ht="240" customHeight="1" outlineLevel="1" x14ac:dyDescent="0.25">
      <c r="A679" s="2" t="s">
        <v>25</v>
      </c>
      <c r="B679" s="2" t="s">
        <v>3598</v>
      </c>
      <c r="C679" s="2" t="s">
        <v>3599</v>
      </c>
      <c r="D679" s="2" t="s">
        <v>3600</v>
      </c>
      <c r="E679" s="3">
        <v>42268</v>
      </c>
      <c r="F679" s="2" t="s">
        <v>3601</v>
      </c>
      <c r="G679" s="2"/>
      <c r="H679" s="2" t="s">
        <v>2425</v>
      </c>
      <c r="I679" s="2" t="s">
        <v>2461</v>
      </c>
      <c r="J679" s="3">
        <v>42325</v>
      </c>
      <c r="K679" s="2" t="str">
        <f>HYPERLINK("https://docs.wto.org/imrd/directdoc.asp?DDFDocuments/t/G/SPS/NKOR517.DOC")</f>
        <v>https://docs.wto.org/imrd/directdoc.asp?DDFDocuments/t/G/SPS/NKOR517.DOC</v>
      </c>
      <c r="L679" s="2" t="str">
        <f>HYPERLINK("https://docs.wto.org/imrd/directdoc.asp?DDFDocuments/u/G/SPS/NKOR517.DOC")</f>
        <v>https://docs.wto.org/imrd/directdoc.asp?DDFDocuments/u/G/SPS/NKOR517.DOC</v>
      </c>
      <c r="M679" s="2" t="str">
        <f>HYPERLINK("https://docs.wto.org/imrd/directdoc.asp?DDFDocuments/v/G/SPS/NKOR517.DOC")</f>
        <v>https://docs.wto.org/imrd/directdoc.asp?DDFDocuments/v/G/SPS/NKOR517.DOC</v>
      </c>
      <c r="N679" s="2" t="str">
        <f>HYPERLINK("http://www.epingalert.org/#/details/G/SPS/N/KOR/517")</f>
        <v>http://www.epingalert.org/#/details/G/SPS/N/KOR/517</v>
      </c>
      <c r="O679" s="2"/>
    </row>
    <row r="680" spans="1:15" ht="240" customHeight="1" outlineLevel="1" x14ac:dyDescent="0.25">
      <c r="A680" s="2" t="s">
        <v>18</v>
      </c>
      <c r="B680" s="2" t="s">
        <v>3592</v>
      </c>
      <c r="C680" s="2"/>
      <c r="D680" s="2"/>
      <c r="E680" s="3">
        <v>42268</v>
      </c>
      <c r="F680" s="2" t="s">
        <v>3593</v>
      </c>
      <c r="G680" s="2" t="s">
        <v>3594</v>
      </c>
      <c r="H680" s="2" t="s">
        <v>2654</v>
      </c>
      <c r="I680" s="2" t="s">
        <v>2444</v>
      </c>
      <c r="J680" s="2"/>
      <c r="K680" s="2" t="str">
        <f>HYPERLINK("https://docs.wto.org/imrd/directdoc.asp?DDFDocuments/t/G/SPS/NUSA2594A1.DOC")</f>
        <v>https://docs.wto.org/imrd/directdoc.asp?DDFDocuments/t/G/SPS/NUSA2594A1.DOC</v>
      </c>
      <c r="L680" s="2" t="str">
        <f>HYPERLINK("https://docs.wto.org/imrd/directdoc.asp?DDFDocuments/u/G/SPS/NUSA2594A1.DOC")</f>
        <v>https://docs.wto.org/imrd/directdoc.asp?DDFDocuments/u/G/SPS/NUSA2594A1.DOC</v>
      </c>
      <c r="M680" s="2" t="str">
        <f>HYPERLINK("https://docs.wto.org/imrd/directdoc.asp?DDFDocuments/v/G/SPS/NUSA2594A1.DOC")</f>
        <v>https://docs.wto.org/imrd/directdoc.asp?DDFDocuments/v/G/SPS/NUSA2594A1.DOC</v>
      </c>
      <c r="N680" s="2" t="str">
        <f>HYPERLINK("http://www.epingalert.org/#/details/G/SPS/N/USA/2594/Add.1")</f>
        <v>http://www.epingalert.org/#/details/G/SPS/N/USA/2594/Add.1</v>
      </c>
      <c r="O680" s="2"/>
    </row>
    <row r="681" spans="1:15" ht="240" customHeight="1" outlineLevel="1" x14ac:dyDescent="0.25">
      <c r="A681" s="2" t="s">
        <v>18</v>
      </c>
      <c r="B681" s="2" t="s">
        <v>3595</v>
      </c>
      <c r="C681" s="2"/>
      <c r="D681" s="2"/>
      <c r="E681" s="3">
        <v>42268</v>
      </c>
      <c r="F681" s="2" t="s">
        <v>3596</v>
      </c>
      <c r="G681" s="2" t="s">
        <v>3597</v>
      </c>
      <c r="H681" s="2" t="s">
        <v>2573</v>
      </c>
      <c r="I681" s="2" t="s">
        <v>2444</v>
      </c>
      <c r="J681" s="2"/>
      <c r="K681" s="2" t="str">
        <f>HYPERLINK("https://docs.wto.org/imrd/directdoc.asp?DDFDocuments/t/G/SPS/NUSA2508A3.DOC")</f>
        <v>https://docs.wto.org/imrd/directdoc.asp?DDFDocuments/t/G/SPS/NUSA2508A3.DOC</v>
      </c>
      <c r="L681" s="2" t="str">
        <f>HYPERLINK("https://docs.wto.org/imrd/directdoc.asp?DDFDocuments/u/G/SPS/NUSA2508A3.DOC")</f>
        <v>https://docs.wto.org/imrd/directdoc.asp?DDFDocuments/u/G/SPS/NUSA2508A3.DOC</v>
      </c>
      <c r="M681" s="2" t="str">
        <f>HYPERLINK("https://docs.wto.org/imrd/directdoc.asp?DDFDocuments/v/G/SPS/NUSA2508A3.DOC")</f>
        <v>https://docs.wto.org/imrd/directdoc.asp?DDFDocuments/v/G/SPS/NUSA2508A3.DOC</v>
      </c>
      <c r="N681" s="2" t="str">
        <f>HYPERLINK("http://www.epingalert.org/#/details/G/SPS/N/USA/2508/Add.3")</f>
        <v>http://www.epingalert.org/#/details/G/SPS/N/USA/2508/Add.3</v>
      </c>
      <c r="O681" s="2"/>
    </row>
    <row r="682" spans="1:15" ht="240" customHeight="1" outlineLevel="1" x14ac:dyDescent="0.25">
      <c r="A682" s="2" t="s">
        <v>18</v>
      </c>
      <c r="B682" s="2" t="s">
        <v>7462</v>
      </c>
      <c r="C682" s="2" t="s">
        <v>7463</v>
      </c>
      <c r="D682" s="2" t="s">
        <v>7464</v>
      </c>
      <c r="E682" s="3">
        <v>42264</v>
      </c>
      <c r="F682" s="2" t="s">
        <v>7147</v>
      </c>
      <c r="G682" s="2" t="s">
        <v>6227</v>
      </c>
      <c r="H682" s="2" t="s">
        <v>2467</v>
      </c>
      <c r="I682" s="2" t="s">
        <v>6828</v>
      </c>
      <c r="J682" s="3">
        <v>42307</v>
      </c>
      <c r="K682" s="2" t="str">
        <f>HYPERLINK("https://docs.wto.org/imrd/directdoc.asp?DDFDocuments/t/G/SPS/NUSA2782.DOC")</f>
        <v>https://docs.wto.org/imrd/directdoc.asp?DDFDocuments/t/G/SPS/NUSA2782.DOC</v>
      </c>
      <c r="L682" s="2" t="str">
        <f>HYPERLINK("https://docs.wto.org/imrd/directdoc.asp?DDFDocuments/u/G/SPS/NUSA2782.DOC")</f>
        <v>https://docs.wto.org/imrd/directdoc.asp?DDFDocuments/u/G/SPS/NUSA2782.DOC</v>
      </c>
      <c r="M682" s="2" t="str">
        <f>HYPERLINK("https://docs.wto.org/imrd/directdoc.asp?DDFDocuments/v/G/SPS/NUSA2782.DOC")</f>
        <v>https://docs.wto.org/imrd/directdoc.asp?DDFDocuments/v/G/SPS/NUSA2782.DOC</v>
      </c>
      <c r="N682" s="2" t="str">
        <f>HYPERLINK("http://www.epingalert.org/#/details/G/SPS/N/USA/2782")</f>
        <v>http://www.epingalert.org/#/details/G/SPS/N/USA/2782</v>
      </c>
      <c r="O682" s="2"/>
    </row>
    <row r="683" spans="1:15" ht="240" customHeight="1" outlineLevel="1" x14ac:dyDescent="0.25">
      <c r="A683" s="2" t="s">
        <v>12</v>
      </c>
      <c r="B683" s="2" t="s">
        <v>3611</v>
      </c>
      <c r="C683" s="2" t="s">
        <v>3612</v>
      </c>
      <c r="D683" s="2" t="s">
        <v>3613</v>
      </c>
      <c r="E683" s="3">
        <v>42263</v>
      </c>
      <c r="F683" s="2" t="s">
        <v>3614</v>
      </c>
      <c r="G683" s="2" t="s">
        <v>3615</v>
      </c>
      <c r="H683" s="2" t="s">
        <v>2425</v>
      </c>
      <c r="I683" s="2" t="s">
        <v>2453</v>
      </c>
      <c r="J683" s="3">
        <v>42323</v>
      </c>
      <c r="K683" s="2" t="str">
        <f>HYPERLINK("https://docs.wto.org/imrd/directdoc.asp?DDFDocuments/t/G/SPS/NEU144.DOC")</f>
        <v>https://docs.wto.org/imrd/directdoc.asp?DDFDocuments/t/G/SPS/NEU144.DOC</v>
      </c>
      <c r="L683" s="2" t="str">
        <f>HYPERLINK("https://docs.wto.org/imrd/directdoc.asp?DDFDocuments/u/G/SPS/NEU144.DOC")</f>
        <v>https://docs.wto.org/imrd/directdoc.asp?DDFDocuments/u/G/SPS/NEU144.DOC</v>
      </c>
      <c r="M683" s="2" t="str">
        <f>HYPERLINK("https://docs.wto.org/imrd/directdoc.asp?DDFDocuments/v/G/SPS/NEU144.DOC")</f>
        <v>https://docs.wto.org/imrd/directdoc.asp?DDFDocuments/v/G/SPS/NEU144.DOC</v>
      </c>
      <c r="N683" s="2" t="str">
        <f>HYPERLINK("http://www.epingalert.org/#/details/G/SPS/N/EU/144")</f>
        <v>http://www.epingalert.org/#/details/G/SPS/N/EU/144</v>
      </c>
      <c r="O683" s="2"/>
    </row>
    <row r="684" spans="1:15" ht="240" customHeight="1" outlineLevel="1" x14ac:dyDescent="0.25">
      <c r="A684" s="2" t="s">
        <v>3577</v>
      </c>
      <c r="B684" s="2" t="s">
        <v>3602</v>
      </c>
      <c r="C684" s="2" t="s">
        <v>3603</v>
      </c>
      <c r="D684" s="2" t="s">
        <v>3604</v>
      </c>
      <c r="E684" s="3">
        <v>42263</v>
      </c>
      <c r="F684" s="2" t="s">
        <v>3605</v>
      </c>
      <c r="G684" s="2"/>
      <c r="H684" s="2" t="s">
        <v>2425</v>
      </c>
      <c r="I684" s="2" t="s">
        <v>2461</v>
      </c>
      <c r="J684" s="2"/>
      <c r="K684" s="2" t="str">
        <f>HYPERLINK("https://docs.wto.org/imrd/directdoc.asp?DDFDocuments/t/G/SPS/NNGA10.DOC")</f>
        <v>https://docs.wto.org/imrd/directdoc.asp?DDFDocuments/t/G/SPS/NNGA10.DOC</v>
      </c>
      <c r="L684" s="2" t="str">
        <f>HYPERLINK("https://docs.wto.org/imrd/directdoc.asp?DDFDocuments/u/G/SPS/NNGA10.DOC")</f>
        <v>https://docs.wto.org/imrd/directdoc.asp?DDFDocuments/u/G/SPS/NNGA10.DOC</v>
      </c>
      <c r="M684" s="2" t="str">
        <f>HYPERLINK("https://docs.wto.org/imrd/directdoc.asp?DDFDocuments/v/G/SPS/NNGA10.DOC")</f>
        <v>https://docs.wto.org/imrd/directdoc.asp?DDFDocuments/v/G/SPS/NNGA10.DOC</v>
      </c>
      <c r="N684" s="2" t="str">
        <f>HYPERLINK("http://www.epingalert.org/#/details/G/SPS/N/NGA/10")</f>
        <v>http://www.epingalert.org/#/details/G/SPS/N/NGA/10</v>
      </c>
      <c r="O684" s="2"/>
    </row>
    <row r="685" spans="1:15" ht="240" customHeight="1" outlineLevel="1" x14ac:dyDescent="0.25">
      <c r="A685" s="2" t="s">
        <v>3577</v>
      </c>
      <c r="B685" s="2" t="s">
        <v>3606</v>
      </c>
      <c r="C685" s="2" t="s">
        <v>3607</v>
      </c>
      <c r="D685" s="2" t="s">
        <v>3608</v>
      </c>
      <c r="E685" s="3">
        <v>42263</v>
      </c>
      <c r="F685" s="2" t="s">
        <v>3609</v>
      </c>
      <c r="G685" s="2" t="s">
        <v>3610</v>
      </c>
      <c r="H685" s="2" t="s">
        <v>2425</v>
      </c>
      <c r="I685" s="2" t="s">
        <v>2461</v>
      </c>
      <c r="J685" s="2"/>
      <c r="K685" s="2" t="str">
        <f>HYPERLINK("https://docs.wto.org/imrd/directdoc.asp?DDFDocuments/t/G/SPS/NNGA8.DOC")</f>
        <v>https://docs.wto.org/imrd/directdoc.asp?DDFDocuments/t/G/SPS/NNGA8.DOC</v>
      </c>
      <c r="L685" s="2" t="str">
        <f>HYPERLINK("https://docs.wto.org/imrd/directdoc.asp?DDFDocuments/u/G/SPS/NNGA8.DOC")</f>
        <v>https://docs.wto.org/imrd/directdoc.asp?DDFDocuments/u/G/SPS/NNGA8.DOC</v>
      </c>
      <c r="M685" s="2" t="str">
        <f>HYPERLINK("https://docs.wto.org/imrd/directdoc.asp?DDFDocuments/v/G/SPS/NNGA8.DOC")</f>
        <v>https://docs.wto.org/imrd/directdoc.asp?DDFDocuments/v/G/SPS/NNGA8.DOC</v>
      </c>
      <c r="N685" s="2" t="str">
        <f>HYPERLINK("http://www.epingalert.org/#/details/G/SPS/N/NGA/8")</f>
        <v>http://www.epingalert.org/#/details/G/SPS/N/NGA/8</v>
      </c>
      <c r="O685" s="2"/>
    </row>
    <row r="686" spans="1:15" ht="240" customHeight="1" outlineLevel="1" x14ac:dyDescent="0.25">
      <c r="A686" s="2" t="s">
        <v>3577</v>
      </c>
      <c r="B686" s="2" t="s">
        <v>6529</v>
      </c>
      <c r="C686" s="2" t="s">
        <v>6530</v>
      </c>
      <c r="D686" s="2" t="s">
        <v>6531</v>
      </c>
      <c r="E686" s="3">
        <v>42263</v>
      </c>
      <c r="F686" s="2" t="s">
        <v>6532</v>
      </c>
      <c r="G686" s="2" t="s">
        <v>1646</v>
      </c>
      <c r="H686" s="2" t="s">
        <v>2425</v>
      </c>
      <c r="I686" s="2" t="s">
        <v>2558</v>
      </c>
      <c r="J686" s="2"/>
      <c r="K686" s="2" t="str">
        <f>HYPERLINK("https://docs.wto.org/imrd/directdoc.asp?DDFDocuments/t/G/SPS/NNGA9.DOC")</f>
        <v>https://docs.wto.org/imrd/directdoc.asp?DDFDocuments/t/G/SPS/NNGA9.DOC</v>
      </c>
      <c r="L686" s="2" t="str">
        <f>HYPERLINK("https://docs.wto.org/imrd/directdoc.asp?DDFDocuments/u/G/SPS/NNGA9.DOC")</f>
        <v>https://docs.wto.org/imrd/directdoc.asp?DDFDocuments/u/G/SPS/NNGA9.DOC</v>
      </c>
      <c r="M686" s="2" t="str">
        <f>HYPERLINK("https://docs.wto.org/imrd/directdoc.asp?DDFDocuments/v/G/SPS/NNGA9.DOC")</f>
        <v>https://docs.wto.org/imrd/directdoc.asp?DDFDocuments/v/G/SPS/NNGA9.DOC</v>
      </c>
      <c r="N686" s="2" t="str">
        <f>HYPERLINK("http://www.epingalert.org/#/details/G/SPS/N/NGA/9")</f>
        <v>http://www.epingalert.org/#/details/G/SPS/N/NGA/9</v>
      </c>
      <c r="O686" s="2"/>
    </row>
    <row r="687" spans="1:15" ht="240" customHeight="1" outlineLevel="1" x14ac:dyDescent="0.25">
      <c r="A687" s="2" t="s">
        <v>3577</v>
      </c>
      <c r="B687" s="2" t="s">
        <v>7465</v>
      </c>
      <c r="C687" s="2" t="s">
        <v>7466</v>
      </c>
      <c r="D687" s="2" t="s">
        <v>7467</v>
      </c>
      <c r="E687" s="3">
        <v>42263</v>
      </c>
      <c r="F687" s="2" t="s">
        <v>7468</v>
      </c>
      <c r="G687" s="2" t="s">
        <v>7469</v>
      </c>
      <c r="H687" s="2" t="s">
        <v>2425</v>
      </c>
      <c r="I687" s="2" t="s">
        <v>7470</v>
      </c>
      <c r="J687" s="2"/>
      <c r="K687" s="2" t="str">
        <f>HYPERLINK("https://docs.wto.org/imrd/directdoc.asp?DDFDocuments/t/G/SPS/NNGA7.DOC")</f>
        <v>https://docs.wto.org/imrd/directdoc.asp?DDFDocuments/t/G/SPS/NNGA7.DOC</v>
      </c>
      <c r="L687" s="2" t="str">
        <f>HYPERLINK("https://docs.wto.org/imrd/directdoc.asp?DDFDocuments/u/G/SPS/NNGA7.DOC")</f>
        <v>https://docs.wto.org/imrd/directdoc.asp?DDFDocuments/u/G/SPS/NNGA7.DOC</v>
      </c>
      <c r="M687" s="2" t="str">
        <f>HYPERLINK("https://docs.wto.org/imrd/directdoc.asp?DDFDocuments/v/G/SPS/NNGA7.DOC")</f>
        <v>https://docs.wto.org/imrd/directdoc.asp?DDFDocuments/v/G/SPS/NNGA7.DOC</v>
      </c>
      <c r="N687" s="2" t="str">
        <f>HYPERLINK("http://www.epingalert.org/#/details/G/SPS/N/NGA/7")</f>
        <v>http://www.epingalert.org/#/details/G/SPS/N/NGA/7</v>
      </c>
      <c r="O687" s="2"/>
    </row>
    <row r="688" spans="1:15" ht="240" customHeight="1" outlineLevel="1" x14ac:dyDescent="0.25">
      <c r="A688" s="2" t="s">
        <v>121</v>
      </c>
      <c r="B688" s="2" t="s">
        <v>3620</v>
      </c>
      <c r="C688" s="2" t="s">
        <v>3621</v>
      </c>
      <c r="D688" s="2" t="s">
        <v>3622</v>
      </c>
      <c r="E688" s="3">
        <v>42262</v>
      </c>
      <c r="F688" s="2" t="s">
        <v>3623</v>
      </c>
      <c r="G688" s="2" t="s">
        <v>3624</v>
      </c>
      <c r="H688" s="2" t="s">
        <v>2425</v>
      </c>
      <c r="I688" s="2" t="s">
        <v>2461</v>
      </c>
      <c r="J688" s="3">
        <v>42322</v>
      </c>
      <c r="K688" s="2" t="str">
        <f>HYPERLINK("https://docs.wto.org/imrd/directdoc.asp?DDFDocuments/t/G/SPS/NIND117.DOC")</f>
        <v>https://docs.wto.org/imrd/directdoc.asp?DDFDocuments/t/G/SPS/NIND117.DOC</v>
      </c>
      <c r="L688" s="2" t="str">
        <f>HYPERLINK("https://docs.wto.org/imrd/directdoc.asp?DDFDocuments/u/G/SPS/NIND117.DOC")</f>
        <v>https://docs.wto.org/imrd/directdoc.asp?DDFDocuments/u/G/SPS/NIND117.DOC</v>
      </c>
      <c r="M688" s="2" t="str">
        <f>HYPERLINK("https://docs.wto.org/imrd/directdoc.asp?DDFDocuments/v/G/SPS/NIND117.DOC")</f>
        <v>https://docs.wto.org/imrd/directdoc.asp?DDFDocuments/v/G/SPS/NIND117.DOC</v>
      </c>
      <c r="N688" s="2" t="str">
        <f>HYPERLINK("http://www.epingalert.org/#/details/G/SPS/N/IND/117")</f>
        <v>http://www.epingalert.org/#/details/G/SPS/N/IND/117</v>
      </c>
      <c r="O688" s="2"/>
    </row>
    <row r="689" spans="1:15" ht="240" customHeight="1" outlineLevel="1" x14ac:dyDescent="0.25">
      <c r="A689" s="2" t="s">
        <v>18</v>
      </c>
      <c r="B689" s="2" t="s">
        <v>3616</v>
      </c>
      <c r="C689" s="2"/>
      <c r="D689" s="2"/>
      <c r="E689" s="3">
        <v>42262</v>
      </c>
      <c r="F689" s="2" t="s">
        <v>3593</v>
      </c>
      <c r="G689" s="2" t="s">
        <v>3617</v>
      </c>
      <c r="H689" s="2" t="s">
        <v>2648</v>
      </c>
      <c r="I689" s="2" t="s">
        <v>2444</v>
      </c>
      <c r="J689" s="2"/>
      <c r="K689" s="2" t="str">
        <f>HYPERLINK("https://docs.wto.org/imrd/directdoc.asp?DDFDocuments/t/G/SPS/NUSA2593A3.DOC")</f>
        <v>https://docs.wto.org/imrd/directdoc.asp?DDFDocuments/t/G/SPS/NUSA2593A3.DOC</v>
      </c>
      <c r="L689" s="2" t="str">
        <f>HYPERLINK("https://docs.wto.org/imrd/directdoc.asp?DDFDocuments/u/G/SPS/NUSA2593A3.DOC")</f>
        <v>https://docs.wto.org/imrd/directdoc.asp?DDFDocuments/u/G/SPS/NUSA2593A3.DOC</v>
      </c>
      <c r="M689" s="2" t="str">
        <f>HYPERLINK("https://docs.wto.org/imrd/directdoc.asp?DDFDocuments/v/G/SPS/NUSA2593A3.DOC")</f>
        <v>https://docs.wto.org/imrd/directdoc.asp?DDFDocuments/v/G/SPS/NUSA2593A3.DOC</v>
      </c>
      <c r="N689" s="2" t="str">
        <f>HYPERLINK("http://www.epingalert.org/#/details/G/SPS/N/USA/2593/Add.3")</f>
        <v>http://www.epingalert.org/#/details/G/SPS/N/USA/2593/Add.3</v>
      </c>
      <c r="O689" s="2"/>
    </row>
    <row r="690" spans="1:15" ht="240" customHeight="1" outlineLevel="1" x14ac:dyDescent="0.25">
      <c r="A690" s="2" t="s">
        <v>18</v>
      </c>
      <c r="B690" s="2" t="s">
        <v>3618</v>
      </c>
      <c r="C690" s="2"/>
      <c r="D690" s="2"/>
      <c r="E690" s="3">
        <v>42262</v>
      </c>
      <c r="F690" s="2" t="s">
        <v>2568</v>
      </c>
      <c r="G690" s="2" t="s">
        <v>3619</v>
      </c>
      <c r="H690" s="2" t="s">
        <v>2425</v>
      </c>
      <c r="I690" s="2" t="s">
        <v>2444</v>
      </c>
      <c r="J690" s="2"/>
      <c r="K690" s="2" t="str">
        <f>HYPERLINK("https://docs.wto.org/imrd/directdoc.asp?DDFDocuments/t/G/SPS/NUSA2502A6.DOC")</f>
        <v>https://docs.wto.org/imrd/directdoc.asp?DDFDocuments/t/G/SPS/NUSA2502A6.DOC</v>
      </c>
      <c r="L690" s="2" t="str">
        <f>HYPERLINK("https://docs.wto.org/imrd/directdoc.asp?DDFDocuments/u/G/SPS/NUSA2502A6.DOC")</f>
        <v>https://docs.wto.org/imrd/directdoc.asp?DDFDocuments/u/G/SPS/NUSA2502A6.DOC</v>
      </c>
      <c r="M690" s="2" t="str">
        <f>HYPERLINK("https://docs.wto.org/imrd/directdoc.asp?DDFDocuments/v/G/SPS/NUSA2502A6.DOC")</f>
        <v>https://docs.wto.org/imrd/directdoc.asp?DDFDocuments/v/G/SPS/NUSA2502A6.DOC</v>
      </c>
      <c r="N690" s="2" t="str">
        <f>HYPERLINK("http://www.epingalert.org/#/details/G/SPS/N/USA/2502/Add.6")</f>
        <v>http://www.epingalert.org/#/details/G/SPS/N/USA/2502/Add.6</v>
      </c>
      <c r="O690" s="2"/>
    </row>
    <row r="691" spans="1:15" ht="240" customHeight="1" outlineLevel="1" x14ac:dyDescent="0.25">
      <c r="A691" s="2" t="s">
        <v>225</v>
      </c>
      <c r="B691" s="2" t="s">
        <v>3625</v>
      </c>
      <c r="C691" s="2" t="s">
        <v>3626</v>
      </c>
      <c r="D691" s="2" t="s">
        <v>2494</v>
      </c>
      <c r="E691" s="3">
        <v>42261</v>
      </c>
      <c r="F691" s="2" t="s">
        <v>2430</v>
      </c>
      <c r="G691" s="2"/>
      <c r="H691" s="2" t="s">
        <v>2425</v>
      </c>
      <c r="I691" s="2" t="s">
        <v>3461</v>
      </c>
      <c r="J691" s="3">
        <v>42321</v>
      </c>
      <c r="K691" s="2" t="str">
        <f>HYPERLINK("https://docs.wto.org/imrd/directdoc.asp?DDFDocuments/t/G/SPS/NAUS370.DOC")</f>
        <v>https://docs.wto.org/imrd/directdoc.asp?DDFDocuments/t/G/SPS/NAUS370.DOC</v>
      </c>
      <c r="L691" s="2" t="str">
        <f>HYPERLINK("https://docs.wto.org/imrd/directdoc.asp?DDFDocuments/u/G/SPS/NAUS370.DOC")</f>
        <v>https://docs.wto.org/imrd/directdoc.asp?DDFDocuments/u/G/SPS/NAUS370.DOC</v>
      </c>
      <c r="M691" s="2" t="str">
        <f>HYPERLINK("https://docs.wto.org/imrd/directdoc.asp?DDFDocuments/v/G/SPS/NAUS370.DOC")</f>
        <v>https://docs.wto.org/imrd/directdoc.asp?DDFDocuments/v/G/SPS/NAUS370.DOC</v>
      </c>
      <c r="N691" s="2" t="str">
        <f>HYPERLINK("http://www.epingalert.org/#/details/G/SPS/N/AUS/370")</f>
        <v>http://www.epingalert.org/#/details/G/SPS/N/AUS/370</v>
      </c>
      <c r="O691" s="2"/>
    </row>
    <row r="692" spans="1:15" ht="240" customHeight="1" outlineLevel="1" x14ac:dyDescent="0.25">
      <c r="A692" s="2" t="s">
        <v>121</v>
      </c>
      <c r="B692" s="2" t="s">
        <v>3627</v>
      </c>
      <c r="C692" s="2" t="s">
        <v>3628</v>
      </c>
      <c r="D692" s="2" t="s">
        <v>3629</v>
      </c>
      <c r="E692" s="3">
        <v>42255</v>
      </c>
      <c r="F692" s="2" t="s">
        <v>3630</v>
      </c>
      <c r="G692" s="2"/>
      <c r="H692" s="2" t="s">
        <v>2425</v>
      </c>
      <c r="I692" s="2" t="s">
        <v>3155</v>
      </c>
      <c r="J692" s="3">
        <v>42315</v>
      </c>
      <c r="K692" s="2" t="str">
        <f>HYPERLINK("https://docs.wto.org/imrd/directdoc.asp?DDFDocuments/t/G/SPS/NIND112.DOC")</f>
        <v>https://docs.wto.org/imrd/directdoc.asp?DDFDocuments/t/G/SPS/NIND112.DOC</v>
      </c>
      <c r="L692" s="2" t="str">
        <f>HYPERLINK("https://docs.wto.org/imrd/directdoc.asp?DDFDocuments/u/G/SPS/NIND112.DOC")</f>
        <v>https://docs.wto.org/imrd/directdoc.asp?DDFDocuments/u/G/SPS/NIND112.DOC</v>
      </c>
      <c r="M692" s="2" t="str">
        <f>HYPERLINK("https://docs.wto.org/imrd/directdoc.asp?DDFDocuments/v/G/SPS/NIND112.DOC")</f>
        <v>https://docs.wto.org/imrd/directdoc.asp?DDFDocuments/v/G/SPS/NIND112.DOC</v>
      </c>
      <c r="N692" s="2" t="str">
        <f>HYPERLINK("http://www.epingalert.org/#/details/G/SPS/N/IND/112")</f>
        <v>http://www.epingalert.org/#/details/G/SPS/N/IND/112</v>
      </c>
      <c r="O692" s="2"/>
    </row>
    <row r="693" spans="1:15" ht="240" customHeight="1" outlineLevel="1" x14ac:dyDescent="0.25">
      <c r="A693" s="2" t="s">
        <v>3577</v>
      </c>
      <c r="B693" s="2" t="s">
        <v>6533</v>
      </c>
      <c r="C693" s="2" t="s">
        <v>6534</v>
      </c>
      <c r="D693" s="2" t="s">
        <v>6535</v>
      </c>
      <c r="E693" s="3">
        <v>42255</v>
      </c>
      <c r="F693" s="2" t="s">
        <v>6536</v>
      </c>
      <c r="G693" s="2" t="s">
        <v>6537</v>
      </c>
      <c r="H693" s="2" t="s">
        <v>2425</v>
      </c>
      <c r="I693" s="2" t="s">
        <v>4406</v>
      </c>
      <c r="J693" s="2"/>
      <c r="K693" s="2" t="str">
        <f>HYPERLINK("https://docs.wto.org/imrd/directdoc.asp?DDFDocuments/t/G/SPS/NNGA5.DOC")</f>
        <v>https://docs.wto.org/imrd/directdoc.asp?DDFDocuments/t/G/SPS/NNGA5.DOC</v>
      </c>
      <c r="L693" s="2" t="str">
        <f>HYPERLINK("https://docs.wto.org/imrd/directdoc.asp?DDFDocuments/u/G/SPS/NNGA5.DOC")</f>
        <v>https://docs.wto.org/imrd/directdoc.asp?DDFDocuments/u/G/SPS/NNGA5.DOC</v>
      </c>
      <c r="M693" s="2" t="str">
        <f>HYPERLINK("https://docs.wto.org/imrd/directdoc.asp?DDFDocuments/v/G/SPS/NNGA5.DOC")</f>
        <v>https://docs.wto.org/imrd/directdoc.asp?DDFDocuments/v/G/SPS/NNGA5.DOC</v>
      </c>
      <c r="N693" s="2" t="str">
        <f>HYPERLINK("http://www.epingalert.org/#/details/G/SPS/N/NGA/5")</f>
        <v>http://www.epingalert.org/#/details/G/SPS/N/NGA/5</v>
      </c>
      <c r="O693" s="2"/>
    </row>
    <row r="694" spans="1:15" ht="240" customHeight="1" outlineLevel="1" x14ac:dyDescent="0.25">
      <c r="A694" s="2" t="s">
        <v>380</v>
      </c>
      <c r="B694" s="2" t="s">
        <v>6623</v>
      </c>
      <c r="C694" s="2" t="s">
        <v>6624</v>
      </c>
      <c r="D694" s="2" t="s">
        <v>6625</v>
      </c>
      <c r="E694" s="3">
        <v>42254</v>
      </c>
      <c r="F694" s="2" t="s">
        <v>6626</v>
      </c>
      <c r="G694" s="2" t="s">
        <v>6627</v>
      </c>
      <c r="H694" s="2" t="s">
        <v>2425</v>
      </c>
      <c r="I694" s="2" t="s">
        <v>6503</v>
      </c>
      <c r="J694" s="3">
        <v>42314</v>
      </c>
      <c r="K694" s="2" t="str">
        <f>HYPERLINK("https://docs.wto.org/imrd/directdoc.asp?DDFDocuments/t/G/SPS/NCHN1006.DOC")</f>
        <v>https://docs.wto.org/imrd/directdoc.asp?DDFDocuments/t/G/SPS/NCHN1006.DOC</v>
      </c>
      <c r="L694" s="2" t="str">
        <f>HYPERLINK("https://docs.wto.org/imrd/directdoc.asp?DDFDocuments/u/G/SPS/NCHN1006.DOC")</f>
        <v>https://docs.wto.org/imrd/directdoc.asp?DDFDocuments/u/G/SPS/NCHN1006.DOC</v>
      </c>
      <c r="M694" s="2" t="str">
        <f>HYPERLINK("https://docs.wto.org/imrd/directdoc.asp?DDFDocuments/v/G/SPS/NCHN1006.DOC")</f>
        <v>https://docs.wto.org/imrd/directdoc.asp?DDFDocuments/v/G/SPS/NCHN1006.DOC</v>
      </c>
      <c r="N694" s="2" t="str">
        <f>HYPERLINK("http://www.epingalert.org/#/details/G/SPS/N/CHN/1006")</f>
        <v>http://www.epingalert.org/#/details/G/SPS/N/CHN/1006</v>
      </c>
      <c r="O694" s="2"/>
    </row>
    <row r="695" spans="1:15" ht="240" customHeight="1" outlineLevel="1" x14ac:dyDescent="0.25">
      <c r="A695" s="2" t="s">
        <v>380</v>
      </c>
      <c r="B695" s="2" t="s">
        <v>6628</v>
      </c>
      <c r="C695" s="2" t="s">
        <v>6629</v>
      </c>
      <c r="D695" s="2" t="s">
        <v>6630</v>
      </c>
      <c r="E695" s="3">
        <v>42254</v>
      </c>
      <c r="F695" s="2" t="s">
        <v>6631</v>
      </c>
      <c r="G695" s="2" t="s">
        <v>6578</v>
      </c>
      <c r="H695" s="2" t="s">
        <v>2425</v>
      </c>
      <c r="I695" s="2" t="s">
        <v>6503</v>
      </c>
      <c r="J695" s="3">
        <v>42314</v>
      </c>
      <c r="K695" s="2" t="str">
        <f>HYPERLINK("https://docs.wto.org/imrd/directdoc.asp?DDFDocuments/t/G/SPS/NCHN1005.DOC")</f>
        <v>https://docs.wto.org/imrd/directdoc.asp?DDFDocuments/t/G/SPS/NCHN1005.DOC</v>
      </c>
      <c r="L695" s="2" t="str">
        <f>HYPERLINK("https://docs.wto.org/imrd/directdoc.asp?DDFDocuments/u/G/SPS/NCHN1005.DOC")</f>
        <v>https://docs.wto.org/imrd/directdoc.asp?DDFDocuments/u/G/SPS/NCHN1005.DOC</v>
      </c>
      <c r="M695" s="2" t="str">
        <f>HYPERLINK("https://docs.wto.org/imrd/directdoc.asp?DDFDocuments/v/G/SPS/NCHN1005.DOC")</f>
        <v>https://docs.wto.org/imrd/directdoc.asp?DDFDocuments/v/G/SPS/NCHN1005.DOC</v>
      </c>
      <c r="N695" s="2" t="str">
        <f>HYPERLINK("http://www.epingalert.org/#/details/G/SPS/N/CHN/1005")</f>
        <v>http://www.epingalert.org/#/details/G/SPS/N/CHN/1005</v>
      </c>
      <c r="O695" s="2"/>
    </row>
    <row r="696" spans="1:15" ht="240" customHeight="1" outlineLevel="1" x14ac:dyDescent="0.25">
      <c r="A696" s="2" t="s">
        <v>18</v>
      </c>
      <c r="B696" s="2" t="s">
        <v>7471</v>
      </c>
      <c r="C696" s="2"/>
      <c r="D696" s="2"/>
      <c r="E696" s="3">
        <v>42254</v>
      </c>
      <c r="F696" s="2" t="s">
        <v>7472</v>
      </c>
      <c r="G696" s="2" t="s">
        <v>7473</v>
      </c>
      <c r="H696" s="2" t="s">
        <v>2425</v>
      </c>
      <c r="I696" s="2" t="s">
        <v>2444</v>
      </c>
      <c r="J696" s="2"/>
      <c r="K696" s="2" t="str">
        <f>HYPERLINK("https://docs.wto.org/imrd/directdoc.asp?DDFDocuments/t/G/SPS/NUSA2724A1.DOC")</f>
        <v>https://docs.wto.org/imrd/directdoc.asp?DDFDocuments/t/G/SPS/NUSA2724A1.DOC</v>
      </c>
      <c r="L696" s="2" t="str">
        <f>HYPERLINK("https://docs.wto.org/imrd/directdoc.asp?DDFDocuments/u/G/SPS/NUSA2724A1.DOC")</f>
        <v>https://docs.wto.org/imrd/directdoc.asp?DDFDocuments/u/G/SPS/NUSA2724A1.DOC</v>
      </c>
      <c r="M696" s="2" t="str">
        <f>HYPERLINK("https://docs.wto.org/imrd/directdoc.asp?DDFDocuments/v/G/SPS/NUSA2724A1.DOC")</f>
        <v>https://docs.wto.org/imrd/directdoc.asp?DDFDocuments/v/G/SPS/NUSA2724A1.DOC</v>
      </c>
      <c r="N696" s="2" t="str">
        <f>HYPERLINK("http://www.epingalert.org/#/details/G/SPS/N/USA/2724/Add.1")</f>
        <v>http://www.epingalert.org/#/details/G/SPS/N/USA/2724/Add.1</v>
      </c>
      <c r="O696" s="2"/>
    </row>
    <row r="697" spans="1:15" ht="240" customHeight="1" outlineLevel="1" x14ac:dyDescent="0.25">
      <c r="A697" s="2" t="s">
        <v>121</v>
      </c>
      <c r="B697" s="2" t="s">
        <v>7474</v>
      </c>
      <c r="C697" s="2" t="s">
        <v>7475</v>
      </c>
      <c r="D697" s="2" t="s">
        <v>7476</v>
      </c>
      <c r="E697" s="3">
        <v>42251</v>
      </c>
      <c r="F697" s="2" t="s">
        <v>7477</v>
      </c>
      <c r="G697" s="2" t="s">
        <v>7478</v>
      </c>
      <c r="H697" s="2" t="s">
        <v>2425</v>
      </c>
      <c r="I697" s="2" t="s">
        <v>2426</v>
      </c>
      <c r="J697" s="3">
        <v>42311</v>
      </c>
      <c r="K697" s="2" t="str">
        <f>HYPERLINK("https://docs.wto.org/imrd/directdoc.asp?DDFDocuments/t/G/SPS/NIND111.DOC")</f>
        <v>https://docs.wto.org/imrd/directdoc.asp?DDFDocuments/t/G/SPS/NIND111.DOC</v>
      </c>
      <c r="L697" s="2" t="str">
        <f>HYPERLINK("https://docs.wto.org/imrd/directdoc.asp?DDFDocuments/u/G/SPS/NIND111.DOC")</f>
        <v>https://docs.wto.org/imrd/directdoc.asp?DDFDocuments/u/G/SPS/NIND111.DOC</v>
      </c>
      <c r="M697" s="2" t="str">
        <f>HYPERLINK("https://docs.wto.org/imrd/directdoc.asp?DDFDocuments/v/G/SPS/NIND111.DOC")</f>
        <v>https://docs.wto.org/imrd/directdoc.asp?DDFDocuments/v/G/SPS/NIND111.DOC</v>
      </c>
      <c r="N697" s="2" t="str">
        <f>HYPERLINK("http://www.epingalert.org/#/details/G/SPS/N/IND/111")</f>
        <v>http://www.epingalert.org/#/details/G/SPS/N/IND/111</v>
      </c>
      <c r="O697" s="2"/>
    </row>
    <row r="698" spans="1:15" ht="240" customHeight="1" outlineLevel="1" x14ac:dyDescent="0.25">
      <c r="A698" s="2" t="s">
        <v>380</v>
      </c>
      <c r="B698" s="2" t="s">
        <v>3631</v>
      </c>
      <c r="C698" s="2" t="s">
        <v>3632</v>
      </c>
      <c r="D698" s="2" t="s">
        <v>3633</v>
      </c>
      <c r="E698" s="3">
        <v>42251</v>
      </c>
      <c r="F698" s="2" t="s">
        <v>3634</v>
      </c>
      <c r="G698" s="2" t="s">
        <v>3635</v>
      </c>
      <c r="H698" s="2" t="s">
        <v>2425</v>
      </c>
      <c r="I698" s="2" t="s">
        <v>2461</v>
      </c>
      <c r="J698" s="3">
        <v>42311</v>
      </c>
      <c r="K698" s="2" t="str">
        <f>HYPERLINK("https://docs.wto.org/imrd/directdoc.asp?DDFDocuments/t/G/SPS/NCHN1001.DOC")</f>
        <v>https://docs.wto.org/imrd/directdoc.asp?DDFDocuments/t/G/SPS/NCHN1001.DOC</v>
      </c>
      <c r="L698" s="2" t="str">
        <f>HYPERLINK("https://docs.wto.org/imrd/directdoc.asp?DDFDocuments/u/G/SPS/NCHN1001.DOC")</f>
        <v>https://docs.wto.org/imrd/directdoc.asp?DDFDocuments/u/G/SPS/NCHN1001.DOC</v>
      </c>
      <c r="M698" s="2" t="str">
        <f>HYPERLINK("https://docs.wto.org/imrd/directdoc.asp?DDFDocuments/v/G/SPS/NCHN1001.DOC")</f>
        <v>https://docs.wto.org/imrd/directdoc.asp?DDFDocuments/v/G/SPS/NCHN1001.DOC</v>
      </c>
      <c r="N698" s="2" t="str">
        <f>HYPERLINK("http://www.epingalert.org/#/details/G/SPS/N/CHN/1001")</f>
        <v>http://www.epingalert.org/#/details/G/SPS/N/CHN/1001</v>
      </c>
      <c r="O698" s="2"/>
    </row>
    <row r="699" spans="1:15" ht="240" customHeight="1" outlineLevel="1" x14ac:dyDescent="0.25">
      <c r="A699" s="2" t="s">
        <v>380</v>
      </c>
      <c r="B699" s="2" t="s">
        <v>3636</v>
      </c>
      <c r="C699" s="2" t="s">
        <v>3637</v>
      </c>
      <c r="D699" s="2" t="s">
        <v>3638</v>
      </c>
      <c r="E699" s="3">
        <v>42251</v>
      </c>
      <c r="F699" s="2" t="s">
        <v>3639</v>
      </c>
      <c r="G699" s="2" t="s">
        <v>3481</v>
      </c>
      <c r="H699" s="2" t="s">
        <v>2425</v>
      </c>
      <c r="I699" s="2" t="s">
        <v>2461</v>
      </c>
      <c r="J699" s="3">
        <v>42311</v>
      </c>
      <c r="K699" s="2" t="str">
        <f>HYPERLINK("https://docs.wto.org/imrd/directdoc.asp?DDFDocuments/t/G/SPS/NCHN999.DOC")</f>
        <v>https://docs.wto.org/imrd/directdoc.asp?DDFDocuments/t/G/SPS/NCHN999.DOC</v>
      </c>
      <c r="L699" s="2" t="str">
        <f>HYPERLINK("https://docs.wto.org/imrd/directdoc.asp?DDFDocuments/u/G/SPS/NCHN999.DOC")</f>
        <v>https://docs.wto.org/imrd/directdoc.asp?DDFDocuments/u/G/SPS/NCHN999.DOC</v>
      </c>
      <c r="M699" s="2" t="str">
        <f>HYPERLINK("https://docs.wto.org/imrd/directdoc.asp?DDFDocuments/v/G/SPS/NCHN999.DOC")</f>
        <v>https://docs.wto.org/imrd/directdoc.asp?DDFDocuments/v/G/SPS/NCHN999.DOC</v>
      </c>
      <c r="N699" s="2" t="str">
        <f>HYPERLINK("http://www.epingalert.org/#/details/G/SPS/N/CHN/999")</f>
        <v>http://www.epingalert.org/#/details/G/SPS/N/CHN/999</v>
      </c>
      <c r="O699" s="2"/>
    </row>
    <row r="700" spans="1:15" ht="240" customHeight="1" outlineLevel="1" x14ac:dyDescent="0.25">
      <c r="A700" s="2" t="s">
        <v>380</v>
      </c>
      <c r="B700" s="2" t="s">
        <v>3640</v>
      </c>
      <c r="C700" s="2" t="s">
        <v>3641</v>
      </c>
      <c r="D700" s="2" t="s">
        <v>3642</v>
      </c>
      <c r="E700" s="3">
        <v>42251</v>
      </c>
      <c r="F700" s="2" t="s">
        <v>3643</v>
      </c>
      <c r="G700" s="2" t="s">
        <v>3644</v>
      </c>
      <c r="H700" s="2" t="s">
        <v>2425</v>
      </c>
      <c r="I700" s="2" t="s">
        <v>2461</v>
      </c>
      <c r="J700" s="3">
        <v>42311</v>
      </c>
      <c r="K700" s="2" t="str">
        <f>HYPERLINK("https://docs.wto.org/imrd/directdoc.asp?DDFDocuments/t/G/SPS/NCHN995.DOC")</f>
        <v>https://docs.wto.org/imrd/directdoc.asp?DDFDocuments/t/G/SPS/NCHN995.DOC</v>
      </c>
      <c r="L700" s="2" t="str">
        <f>HYPERLINK("https://docs.wto.org/imrd/directdoc.asp?DDFDocuments/u/G/SPS/NCHN995.DOC")</f>
        <v>https://docs.wto.org/imrd/directdoc.asp?DDFDocuments/u/G/SPS/NCHN995.DOC</v>
      </c>
      <c r="M700" s="2" t="str">
        <f>HYPERLINK("https://docs.wto.org/imrd/directdoc.asp?DDFDocuments/v/G/SPS/NCHN995.DOC")</f>
        <v>https://docs.wto.org/imrd/directdoc.asp?DDFDocuments/v/G/SPS/NCHN995.DOC</v>
      </c>
      <c r="N700" s="2" t="str">
        <f>HYPERLINK("http://www.epingalert.org/#/details/G/SPS/N/CHN/995")</f>
        <v>http://www.epingalert.org/#/details/G/SPS/N/CHN/995</v>
      </c>
      <c r="O700" s="2"/>
    </row>
    <row r="701" spans="1:15" ht="240" customHeight="1" outlineLevel="1" x14ac:dyDescent="0.25">
      <c r="A701" s="2" t="s">
        <v>380</v>
      </c>
      <c r="B701" s="2" t="s">
        <v>3645</v>
      </c>
      <c r="C701" s="2" t="s">
        <v>3646</v>
      </c>
      <c r="D701" s="2" t="s">
        <v>3647</v>
      </c>
      <c r="E701" s="3">
        <v>42251</v>
      </c>
      <c r="F701" s="2" t="s">
        <v>3648</v>
      </c>
      <c r="G701" s="2" t="s">
        <v>3649</v>
      </c>
      <c r="H701" s="2" t="s">
        <v>2425</v>
      </c>
      <c r="I701" s="2" t="s">
        <v>2461</v>
      </c>
      <c r="J701" s="3">
        <v>42311</v>
      </c>
      <c r="K701" s="2" t="str">
        <f>HYPERLINK("https://docs.wto.org/imrd/directdoc.asp?DDFDocuments/t/G/SPS/NCHN993.DOC")</f>
        <v>https://docs.wto.org/imrd/directdoc.asp?DDFDocuments/t/G/SPS/NCHN993.DOC</v>
      </c>
      <c r="L701" s="2" t="str">
        <f>HYPERLINK("https://docs.wto.org/imrd/directdoc.asp?DDFDocuments/u/G/SPS/NCHN993.DOC")</f>
        <v>https://docs.wto.org/imrd/directdoc.asp?DDFDocuments/u/G/SPS/NCHN993.DOC</v>
      </c>
      <c r="M701" s="2" t="str">
        <f>HYPERLINK("https://docs.wto.org/imrd/directdoc.asp?DDFDocuments/v/G/SPS/NCHN993.DOC")</f>
        <v>https://docs.wto.org/imrd/directdoc.asp?DDFDocuments/v/G/SPS/NCHN993.DOC</v>
      </c>
      <c r="N701" s="2" t="str">
        <f>HYPERLINK("http://www.epingalert.org/#/details/G/SPS/N/CHN/993")</f>
        <v>http://www.epingalert.org/#/details/G/SPS/N/CHN/993</v>
      </c>
      <c r="O701" s="2"/>
    </row>
    <row r="702" spans="1:15" ht="240" customHeight="1" outlineLevel="1" x14ac:dyDescent="0.25">
      <c r="A702" s="2" t="s">
        <v>380</v>
      </c>
      <c r="B702" s="2" t="s">
        <v>3650</v>
      </c>
      <c r="C702" s="2" t="s">
        <v>3651</v>
      </c>
      <c r="D702" s="2" t="s">
        <v>3652</v>
      </c>
      <c r="E702" s="3">
        <v>42251</v>
      </c>
      <c r="F702" s="2" t="s">
        <v>3653</v>
      </c>
      <c r="G702" s="2" t="s">
        <v>3635</v>
      </c>
      <c r="H702" s="2" t="s">
        <v>2573</v>
      </c>
      <c r="I702" s="2" t="s">
        <v>2461</v>
      </c>
      <c r="J702" s="3">
        <v>42311</v>
      </c>
      <c r="K702" s="2" t="str">
        <f>HYPERLINK("https://docs.wto.org/imrd/directdoc.asp?DDFDocuments/t/G/SPS/NCHN991.DOC")</f>
        <v>https://docs.wto.org/imrd/directdoc.asp?DDFDocuments/t/G/SPS/NCHN991.DOC</v>
      </c>
      <c r="L702" s="2" t="str">
        <f>HYPERLINK("https://docs.wto.org/imrd/directdoc.asp?DDFDocuments/u/G/SPS/NCHN991.DOC")</f>
        <v>https://docs.wto.org/imrd/directdoc.asp?DDFDocuments/u/G/SPS/NCHN991.DOC</v>
      </c>
      <c r="M702" s="2" t="str">
        <f>HYPERLINK("https://docs.wto.org/imrd/directdoc.asp?DDFDocuments/v/G/SPS/NCHN991.DOC")</f>
        <v>https://docs.wto.org/imrd/directdoc.asp?DDFDocuments/v/G/SPS/NCHN991.DOC</v>
      </c>
      <c r="N702" s="2" t="str">
        <f>HYPERLINK("http://www.epingalert.org/#/details/G/SPS/N/CHN/991")</f>
        <v>http://www.epingalert.org/#/details/G/SPS/N/CHN/991</v>
      </c>
      <c r="O702" s="2"/>
    </row>
    <row r="703" spans="1:15" ht="240" customHeight="1" outlineLevel="1" x14ac:dyDescent="0.25">
      <c r="A703" s="2" t="s">
        <v>380</v>
      </c>
      <c r="B703" s="2" t="s">
        <v>3654</v>
      </c>
      <c r="C703" s="2" t="s">
        <v>3655</v>
      </c>
      <c r="D703" s="2" t="s">
        <v>3656</v>
      </c>
      <c r="E703" s="3">
        <v>42251</v>
      </c>
      <c r="F703" s="2" t="s">
        <v>3657</v>
      </c>
      <c r="G703" s="2"/>
      <c r="H703" s="2" t="s">
        <v>2425</v>
      </c>
      <c r="I703" s="2" t="s">
        <v>2426</v>
      </c>
      <c r="J703" s="3">
        <v>42311</v>
      </c>
      <c r="K703" s="2" t="str">
        <f>HYPERLINK("https://docs.wto.org/imrd/directdoc.asp?DDFDocuments/t/G/SPS/NCHN989.DOC")</f>
        <v>https://docs.wto.org/imrd/directdoc.asp?DDFDocuments/t/G/SPS/NCHN989.DOC</v>
      </c>
      <c r="L703" s="2" t="str">
        <f>HYPERLINK("https://docs.wto.org/imrd/directdoc.asp?DDFDocuments/u/G/SPS/NCHN989.DOC")</f>
        <v>https://docs.wto.org/imrd/directdoc.asp?DDFDocuments/u/G/SPS/NCHN989.DOC</v>
      </c>
      <c r="M703" s="2" t="str">
        <f>HYPERLINK("https://docs.wto.org/imrd/directdoc.asp?DDFDocuments/v/G/SPS/NCHN989.DOC")</f>
        <v>https://docs.wto.org/imrd/directdoc.asp?DDFDocuments/v/G/SPS/NCHN989.DOC</v>
      </c>
      <c r="N703" s="2" t="str">
        <f>HYPERLINK("http://www.epingalert.org/#/details/G/SPS/N/CHN/989")</f>
        <v>http://www.epingalert.org/#/details/G/SPS/N/CHN/989</v>
      </c>
      <c r="O703" s="2"/>
    </row>
    <row r="704" spans="1:15" ht="240" customHeight="1" outlineLevel="1" x14ac:dyDescent="0.25">
      <c r="A704" s="2" t="s">
        <v>380</v>
      </c>
      <c r="B704" s="2" t="s">
        <v>3658</v>
      </c>
      <c r="C704" s="2" t="s">
        <v>3659</v>
      </c>
      <c r="D704" s="2" t="s">
        <v>3660</v>
      </c>
      <c r="E704" s="3">
        <v>42251</v>
      </c>
      <c r="F704" s="2" t="s">
        <v>3661</v>
      </c>
      <c r="G704" s="2"/>
      <c r="H704" s="2" t="s">
        <v>2425</v>
      </c>
      <c r="I704" s="2" t="s">
        <v>2426</v>
      </c>
      <c r="J704" s="3">
        <v>42311</v>
      </c>
      <c r="K704" s="2" t="str">
        <f>HYPERLINK("https://docs.wto.org/imrd/directdoc.asp?DDFDocuments/t/G/SPS/NCHN988.DOC")</f>
        <v>https://docs.wto.org/imrd/directdoc.asp?DDFDocuments/t/G/SPS/NCHN988.DOC</v>
      </c>
      <c r="L704" s="2" t="str">
        <f>HYPERLINK("https://docs.wto.org/imrd/directdoc.asp?DDFDocuments/u/G/SPS/NCHN988.DOC")</f>
        <v>https://docs.wto.org/imrd/directdoc.asp?DDFDocuments/u/G/SPS/NCHN988.DOC</v>
      </c>
      <c r="M704" s="2" t="str">
        <f>HYPERLINK("https://docs.wto.org/imrd/directdoc.asp?DDFDocuments/v/G/SPS/NCHN988.DOC")</f>
        <v>https://docs.wto.org/imrd/directdoc.asp?DDFDocuments/v/G/SPS/NCHN988.DOC</v>
      </c>
      <c r="N704" s="2" t="str">
        <f>HYPERLINK("http://www.epingalert.org/#/details/G/SPS/N/CHN/988")</f>
        <v>http://www.epingalert.org/#/details/G/SPS/N/CHN/988</v>
      </c>
      <c r="O704" s="2"/>
    </row>
    <row r="705" spans="1:15" ht="240" customHeight="1" outlineLevel="1" x14ac:dyDescent="0.25">
      <c r="A705" s="2" t="s">
        <v>380</v>
      </c>
      <c r="B705" s="2" t="s">
        <v>3662</v>
      </c>
      <c r="C705" s="2" t="s">
        <v>3663</v>
      </c>
      <c r="D705" s="2" t="s">
        <v>3664</v>
      </c>
      <c r="E705" s="3">
        <v>42251</v>
      </c>
      <c r="F705" s="2" t="s">
        <v>3665</v>
      </c>
      <c r="G705" s="2"/>
      <c r="H705" s="2" t="s">
        <v>2425</v>
      </c>
      <c r="I705" s="2" t="s">
        <v>2426</v>
      </c>
      <c r="J705" s="3">
        <v>42311</v>
      </c>
      <c r="K705" s="2" t="str">
        <f>HYPERLINK("https://docs.wto.org/imrd/directdoc.asp?DDFDocuments/t/G/SPS/NCHN987.DOC")</f>
        <v>https://docs.wto.org/imrd/directdoc.asp?DDFDocuments/t/G/SPS/NCHN987.DOC</v>
      </c>
      <c r="L705" s="2" t="str">
        <f>HYPERLINK("https://docs.wto.org/imrd/directdoc.asp?DDFDocuments/u/G/SPS/NCHN987.DOC")</f>
        <v>https://docs.wto.org/imrd/directdoc.asp?DDFDocuments/u/G/SPS/NCHN987.DOC</v>
      </c>
      <c r="M705" s="2" t="str">
        <f>HYPERLINK("https://docs.wto.org/imrd/directdoc.asp?DDFDocuments/v/G/SPS/NCHN987.DOC")</f>
        <v>https://docs.wto.org/imrd/directdoc.asp?DDFDocuments/v/G/SPS/NCHN987.DOC</v>
      </c>
      <c r="N705" s="2" t="str">
        <f>HYPERLINK("http://www.epingalert.org/#/details/G/SPS/N/CHN/987")</f>
        <v>http://www.epingalert.org/#/details/G/SPS/N/CHN/987</v>
      </c>
      <c r="O705" s="2"/>
    </row>
    <row r="706" spans="1:15" ht="240" customHeight="1" outlineLevel="1" x14ac:dyDescent="0.25">
      <c r="A706" s="2" t="s">
        <v>380</v>
      </c>
      <c r="B706" s="2" t="s">
        <v>3666</v>
      </c>
      <c r="C706" s="2" t="s">
        <v>3667</v>
      </c>
      <c r="D706" s="2" t="s">
        <v>3668</v>
      </c>
      <c r="E706" s="3">
        <v>42251</v>
      </c>
      <c r="F706" s="2" t="s">
        <v>3669</v>
      </c>
      <c r="G706" s="2"/>
      <c r="H706" s="2" t="s">
        <v>2425</v>
      </c>
      <c r="I706" s="2" t="s">
        <v>2426</v>
      </c>
      <c r="J706" s="3">
        <v>42311</v>
      </c>
      <c r="K706" s="2" t="str">
        <f>HYPERLINK("https://docs.wto.org/imrd/directdoc.asp?DDFDocuments/t/G/SPS/NCHN986.DOC")</f>
        <v>https://docs.wto.org/imrd/directdoc.asp?DDFDocuments/t/G/SPS/NCHN986.DOC</v>
      </c>
      <c r="L706" s="2" t="str">
        <f>HYPERLINK("https://docs.wto.org/imrd/directdoc.asp?DDFDocuments/u/G/SPS/NCHN986.DOC")</f>
        <v>https://docs.wto.org/imrd/directdoc.asp?DDFDocuments/u/G/SPS/NCHN986.DOC</v>
      </c>
      <c r="M706" s="2" t="str">
        <f>HYPERLINK("https://docs.wto.org/imrd/directdoc.asp?DDFDocuments/v/G/SPS/NCHN986.DOC")</f>
        <v>https://docs.wto.org/imrd/directdoc.asp?DDFDocuments/v/G/SPS/NCHN986.DOC</v>
      </c>
      <c r="N706" s="2" t="str">
        <f>HYPERLINK("http://www.epingalert.org/#/details/G/SPS/N/CHN/986")</f>
        <v>http://www.epingalert.org/#/details/G/SPS/N/CHN/986</v>
      </c>
      <c r="O706" s="2"/>
    </row>
    <row r="707" spans="1:15" ht="240" customHeight="1" outlineLevel="1" x14ac:dyDescent="0.25">
      <c r="A707" s="2" t="s">
        <v>380</v>
      </c>
      <c r="B707" s="2" t="s">
        <v>3670</v>
      </c>
      <c r="C707" s="2" t="s">
        <v>3671</v>
      </c>
      <c r="D707" s="2" t="s">
        <v>3672</v>
      </c>
      <c r="E707" s="3">
        <v>42251</v>
      </c>
      <c r="F707" s="2" t="s">
        <v>3673</v>
      </c>
      <c r="G707" s="2"/>
      <c r="H707" s="2" t="s">
        <v>2425</v>
      </c>
      <c r="I707" s="2" t="s">
        <v>2426</v>
      </c>
      <c r="J707" s="3">
        <v>42311</v>
      </c>
      <c r="K707" s="2" t="str">
        <f>HYPERLINK("https://docs.wto.org/imrd/directdoc.asp?DDFDocuments/t/G/SPS/NCHN985.DOC")</f>
        <v>https://docs.wto.org/imrd/directdoc.asp?DDFDocuments/t/G/SPS/NCHN985.DOC</v>
      </c>
      <c r="L707" s="2" t="str">
        <f>HYPERLINK("https://docs.wto.org/imrd/directdoc.asp?DDFDocuments/u/G/SPS/NCHN985.DOC")</f>
        <v>https://docs.wto.org/imrd/directdoc.asp?DDFDocuments/u/G/SPS/NCHN985.DOC</v>
      </c>
      <c r="M707" s="2" t="str">
        <f>HYPERLINK("https://docs.wto.org/imrd/directdoc.asp?DDFDocuments/v/G/SPS/NCHN985.DOC")</f>
        <v>https://docs.wto.org/imrd/directdoc.asp?DDFDocuments/v/G/SPS/NCHN985.DOC</v>
      </c>
      <c r="N707" s="2" t="str">
        <f>HYPERLINK("http://www.epingalert.org/#/details/G/SPS/N/CHN/985")</f>
        <v>http://www.epingalert.org/#/details/G/SPS/N/CHN/985</v>
      </c>
      <c r="O707" s="2"/>
    </row>
    <row r="708" spans="1:15" ht="240" customHeight="1" outlineLevel="1" x14ac:dyDescent="0.25">
      <c r="A708" s="2" t="s">
        <v>380</v>
      </c>
      <c r="B708" s="2" t="s">
        <v>3674</v>
      </c>
      <c r="C708" s="2" t="s">
        <v>3675</v>
      </c>
      <c r="D708" s="2" t="s">
        <v>3676</v>
      </c>
      <c r="E708" s="3">
        <v>42251</v>
      </c>
      <c r="F708" s="2" t="s">
        <v>3677</v>
      </c>
      <c r="G708" s="2"/>
      <c r="H708" s="2" t="s">
        <v>2425</v>
      </c>
      <c r="I708" s="2" t="s">
        <v>2426</v>
      </c>
      <c r="J708" s="3">
        <v>42311</v>
      </c>
      <c r="K708" s="2" t="str">
        <f>HYPERLINK("https://docs.wto.org/imrd/directdoc.asp?DDFDocuments/t/G/SPS/NCHN984.DOC")</f>
        <v>https://docs.wto.org/imrd/directdoc.asp?DDFDocuments/t/G/SPS/NCHN984.DOC</v>
      </c>
      <c r="L708" s="2" t="str">
        <f>HYPERLINK("https://docs.wto.org/imrd/directdoc.asp?DDFDocuments/u/G/SPS/NCHN984.DOC")</f>
        <v>https://docs.wto.org/imrd/directdoc.asp?DDFDocuments/u/G/SPS/NCHN984.DOC</v>
      </c>
      <c r="M708" s="2" t="str">
        <f>HYPERLINK("https://docs.wto.org/imrd/directdoc.asp?DDFDocuments/v/G/SPS/NCHN984.DOC")</f>
        <v>https://docs.wto.org/imrd/directdoc.asp?DDFDocuments/v/G/SPS/NCHN984.DOC</v>
      </c>
      <c r="N708" s="2" t="str">
        <f>HYPERLINK("http://www.epingalert.org/#/details/G/SPS/N/CHN/984")</f>
        <v>http://www.epingalert.org/#/details/G/SPS/N/CHN/984</v>
      </c>
      <c r="O708" s="2"/>
    </row>
    <row r="709" spans="1:15" ht="240" customHeight="1" outlineLevel="1" x14ac:dyDescent="0.25">
      <c r="A709" s="2" t="s">
        <v>380</v>
      </c>
      <c r="B709" s="2" t="s">
        <v>3678</v>
      </c>
      <c r="C709" s="2" t="s">
        <v>3679</v>
      </c>
      <c r="D709" s="2" t="s">
        <v>3680</v>
      </c>
      <c r="E709" s="3">
        <v>42251</v>
      </c>
      <c r="F709" s="2" t="s">
        <v>3681</v>
      </c>
      <c r="G709" s="2"/>
      <c r="H709" s="2" t="s">
        <v>2573</v>
      </c>
      <c r="I709" s="2" t="s">
        <v>2426</v>
      </c>
      <c r="J709" s="3">
        <v>42311</v>
      </c>
      <c r="K709" s="2" t="str">
        <f>HYPERLINK("https://docs.wto.org/imrd/directdoc.asp?DDFDocuments/t/G/SPS/NCHN983.DOC")</f>
        <v>https://docs.wto.org/imrd/directdoc.asp?DDFDocuments/t/G/SPS/NCHN983.DOC</v>
      </c>
      <c r="L709" s="2" t="str">
        <f>HYPERLINK("https://docs.wto.org/imrd/directdoc.asp?DDFDocuments/u/G/SPS/NCHN983.DOC")</f>
        <v>https://docs.wto.org/imrd/directdoc.asp?DDFDocuments/u/G/SPS/NCHN983.DOC</v>
      </c>
      <c r="M709" s="2" t="str">
        <f>HYPERLINK("https://docs.wto.org/imrd/directdoc.asp?DDFDocuments/v/G/SPS/NCHN983.DOC")</f>
        <v>https://docs.wto.org/imrd/directdoc.asp?DDFDocuments/v/G/SPS/NCHN983.DOC</v>
      </c>
      <c r="N709" s="2" t="str">
        <f>HYPERLINK("http://www.epingalert.org/#/details/G/SPS/N/CHN/983")</f>
        <v>http://www.epingalert.org/#/details/G/SPS/N/CHN/983</v>
      </c>
      <c r="O709" s="2"/>
    </row>
    <row r="710" spans="1:15" ht="240" customHeight="1" outlineLevel="1" x14ac:dyDescent="0.25">
      <c r="A710" s="2" t="s">
        <v>380</v>
      </c>
      <c r="B710" s="2" t="s">
        <v>3682</v>
      </c>
      <c r="C710" s="2" t="s">
        <v>3683</v>
      </c>
      <c r="D710" s="2" t="s">
        <v>3684</v>
      </c>
      <c r="E710" s="3">
        <v>42251</v>
      </c>
      <c r="F710" s="2" t="s">
        <v>3685</v>
      </c>
      <c r="G710" s="2"/>
      <c r="H710" s="2" t="s">
        <v>2425</v>
      </c>
      <c r="I710" s="2" t="s">
        <v>2426</v>
      </c>
      <c r="J710" s="3">
        <v>42311</v>
      </c>
      <c r="K710" s="2" t="str">
        <f>HYPERLINK("https://docs.wto.org/imrd/directdoc.asp?DDFDocuments/t/G/SPS/NCHN982.DOC")</f>
        <v>https://docs.wto.org/imrd/directdoc.asp?DDFDocuments/t/G/SPS/NCHN982.DOC</v>
      </c>
      <c r="L710" s="2" t="str">
        <f>HYPERLINK("https://docs.wto.org/imrd/directdoc.asp?DDFDocuments/u/G/SPS/NCHN982.DOC")</f>
        <v>https://docs.wto.org/imrd/directdoc.asp?DDFDocuments/u/G/SPS/NCHN982.DOC</v>
      </c>
      <c r="M710" s="2" t="str">
        <f>HYPERLINK("https://docs.wto.org/imrd/directdoc.asp?DDFDocuments/v/G/SPS/NCHN982.DOC")</f>
        <v>https://docs.wto.org/imrd/directdoc.asp?DDFDocuments/v/G/SPS/NCHN982.DOC</v>
      </c>
      <c r="N710" s="2" t="str">
        <f>HYPERLINK("http://www.epingalert.org/#/details/G/SPS/N/CHN/982")</f>
        <v>http://www.epingalert.org/#/details/G/SPS/N/CHN/982</v>
      </c>
      <c r="O710" s="2"/>
    </row>
    <row r="711" spans="1:15" ht="240" customHeight="1" outlineLevel="1" x14ac:dyDescent="0.25">
      <c r="A711" s="2" t="s">
        <v>380</v>
      </c>
      <c r="B711" s="2" t="s">
        <v>3686</v>
      </c>
      <c r="C711" s="2" t="s">
        <v>3687</v>
      </c>
      <c r="D711" s="2" t="s">
        <v>3688</v>
      </c>
      <c r="E711" s="3">
        <v>42251</v>
      </c>
      <c r="F711" s="2" t="s">
        <v>3689</v>
      </c>
      <c r="G711" s="2"/>
      <c r="H711" s="2" t="s">
        <v>2425</v>
      </c>
      <c r="I711" s="2" t="s">
        <v>2426</v>
      </c>
      <c r="J711" s="3">
        <v>42311</v>
      </c>
      <c r="K711" s="2" t="str">
        <f>HYPERLINK("https://docs.wto.org/imrd/directdoc.asp?DDFDocuments/t/G/SPS/NCHN981.DOC")</f>
        <v>https://docs.wto.org/imrd/directdoc.asp?DDFDocuments/t/G/SPS/NCHN981.DOC</v>
      </c>
      <c r="L711" s="2" t="str">
        <f>HYPERLINK("https://docs.wto.org/imrd/directdoc.asp?DDFDocuments/u/G/SPS/NCHN981.DOC")</f>
        <v>https://docs.wto.org/imrd/directdoc.asp?DDFDocuments/u/G/SPS/NCHN981.DOC</v>
      </c>
      <c r="M711" s="2" t="str">
        <f>HYPERLINK("https://docs.wto.org/imrd/directdoc.asp?DDFDocuments/v/G/SPS/NCHN981.DOC")</f>
        <v>https://docs.wto.org/imrd/directdoc.asp?DDFDocuments/v/G/SPS/NCHN981.DOC</v>
      </c>
      <c r="N711" s="2" t="str">
        <f>HYPERLINK("http://www.epingalert.org/#/details/G/SPS/N/CHN/981")</f>
        <v>http://www.epingalert.org/#/details/G/SPS/N/CHN/981</v>
      </c>
      <c r="O711" s="2"/>
    </row>
    <row r="712" spans="1:15" ht="240" customHeight="1" outlineLevel="1" x14ac:dyDescent="0.25">
      <c r="A712" s="2" t="s">
        <v>380</v>
      </c>
      <c r="B712" s="2" t="s">
        <v>3690</v>
      </c>
      <c r="C712" s="2" t="s">
        <v>3691</v>
      </c>
      <c r="D712" s="2" t="s">
        <v>3692</v>
      </c>
      <c r="E712" s="3">
        <v>42251</v>
      </c>
      <c r="F712" s="2" t="s">
        <v>3693</v>
      </c>
      <c r="G712" s="2"/>
      <c r="H712" s="2" t="s">
        <v>2425</v>
      </c>
      <c r="I712" s="2" t="s">
        <v>2426</v>
      </c>
      <c r="J712" s="3">
        <v>42311</v>
      </c>
      <c r="K712" s="2" t="str">
        <f>HYPERLINK("https://docs.wto.org/imrd/directdoc.asp?DDFDocuments/t/G/SPS/NCHN980.DOC")</f>
        <v>https://docs.wto.org/imrd/directdoc.asp?DDFDocuments/t/G/SPS/NCHN980.DOC</v>
      </c>
      <c r="L712" s="2" t="str">
        <f>HYPERLINK("https://docs.wto.org/imrd/directdoc.asp?DDFDocuments/u/G/SPS/NCHN980.DOC")</f>
        <v>https://docs.wto.org/imrd/directdoc.asp?DDFDocuments/u/G/SPS/NCHN980.DOC</v>
      </c>
      <c r="M712" s="2" t="str">
        <f>HYPERLINK("https://docs.wto.org/imrd/directdoc.asp?DDFDocuments/v/G/SPS/NCHN980.DOC")</f>
        <v>https://docs.wto.org/imrd/directdoc.asp?DDFDocuments/v/G/SPS/NCHN980.DOC</v>
      </c>
      <c r="N712" s="2" t="str">
        <f>HYPERLINK("http://www.epingalert.org/#/details/G/SPS/N/CHN/980")</f>
        <v>http://www.epingalert.org/#/details/G/SPS/N/CHN/980</v>
      </c>
      <c r="O712" s="2"/>
    </row>
    <row r="713" spans="1:15" ht="240" customHeight="1" outlineLevel="1" x14ac:dyDescent="0.25">
      <c r="A713" s="2" t="s">
        <v>380</v>
      </c>
      <c r="B713" s="2" t="s">
        <v>3694</v>
      </c>
      <c r="C713" s="2" t="s">
        <v>3695</v>
      </c>
      <c r="D713" s="2" t="s">
        <v>3696</v>
      </c>
      <c r="E713" s="3">
        <v>42251</v>
      </c>
      <c r="F713" s="2" t="s">
        <v>3697</v>
      </c>
      <c r="G713" s="2"/>
      <c r="H713" s="2" t="s">
        <v>2425</v>
      </c>
      <c r="I713" s="2" t="s">
        <v>2426</v>
      </c>
      <c r="J713" s="3">
        <v>42311</v>
      </c>
      <c r="K713" s="2" t="str">
        <f>HYPERLINK("https://docs.wto.org/imrd/directdoc.asp?DDFDocuments/t/G/SPS/NCHN979.DOC")</f>
        <v>https://docs.wto.org/imrd/directdoc.asp?DDFDocuments/t/G/SPS/NCHN979.DOC</v>
      </c>
      <c r="L713" s="2" t="str">
        <f>HYPERLINK("https://docs.wto.org/imrd/directdoc.asp?DDFDocuments/u/G/SPS/NCHN979.DOC")</f>
        <v>https://docs.wto.org/imrd/directdoc.asp?DDFDocuments/u/G/SPS/NCHN979.DOC</v>
      </c>
      <c r="M713" s="2" t="str">
        <f>HYPERLINK("https://docs.wto.org/imrd/directdoc.asp?DDFDocuments/v/G/SPS/NCHN979.DOC")</f>
        <v>https://docs.wto.org/imrd/directdoc.asp?DDFDocuments/v/G/SPS/NCHN979.DOC</v>
      </c>
      <c r="N713" s="2" t="str">
        <f>HYPERLINK("http://www.epingalert.org/#/details/G/SPS/N/CHN/979")</f>
        <v>http://www.epingalert.org/#/details/G/SPS/N/CHN/979</v>
      </c>
      <c r="O713" s="2"/>
    </row>
    <row r="714" spans="1:15" ht="240" customHeight="1" outlineLevel="1" x14ac:dyDescent="0.25">
      <c r="A714" s="2" t="s">
        <v>380</v>
      </c>
      <c r="B714" s="2" t="s">
        <v>3698</v>
      </c>
      <c r="C714" s="2" t="s">
        <v>3699</v>
      </c>
      <c r="D714" s="2" t="s">
        <v>3700</v>
      </c>
      <c r="E714" s="3">
        <v>42251</v>
      </c>
      <c r="F714" s="2" t="s">
        <v>3701</v>
      </c>
      <c r="G714" s="2"/>
      <c r="H714" s="2" t="s">
        <v>2425</v>
      </c>
      <c r="I714" s="2" t="s">
        <v>2426</v>
      </c>
      <c r="J714" s="3">
        <v>42311</v>
      </c>
      <c r="K714" s="2" t="str">
        <f>HYPERLINK("https://docs.wto.org/imrd/directdoc.asp?DDFDocuments/t/G/SPS/NCHN978.DOC")</f>
        <v>https://docs.wto.org/imrd/directdoc.asp?DDFDocuments/t/G/SPS/NCHN978.DOC</v>
      </c>
      <c r="L714" s="2" t="str">
        <f>HYPERLINK("https://docs.wto.org/imrd/directdoc.asp?DDFDocuments/u/G/SPS/NCHN978.DOC")</f>
        <v>https://docs.wto.org/imrd/directdoc.asp?DDFDocuments/u/G/SPS/NCHN978.DOC</v>
      </c>
      <c r="M714" s="2" t="str">
        <f>HYPERLINK("https://docs.wto.org/imrd/directdoc.asp?DDFDocuments/v/G/SPS/NCHN978.DOC")</f>
        <v>https://docs.wto.org/imrd/directdoc.asp?DDFDocuments/v/G/SPS/NCHN978.DOC</v>
      </c>
      <c r="N714" s="2" t="str">
        <f>HYPERLINK("http://www.epingalert.org/#/details/G/SPS/N/CHN/978")</f>
        <v>http://www.epingalert.org/#/details/G/SPS/N/CHN/978</v>
      </c>
      <c r="O714" s="2"/>
    </row>
    <row r="715" spans="1:15" ht="240" customHeight="1" outlineLevel="1" x14ac:dyDescent="0.25">
      <c r="A715" s="2" t="s">
        <v>380</v>
      </c>
      <c r="B715" s="2" t="s">
        <v>3702</v>
      </c>
      <c r="C715" s="2" t="s">
        <v>3703</v>
      </c>
      <c r="D715" s="2" t="s">
        <v>3704</v>
      </c>
      <c r="E715" s="3">
        <v>42251</v>
      </c>
      <c r="F715" s="2" t="s">
        <v>3705</v>
      </c>
      <c r="G715" s="2"/>
      <c r="H715" s="2" t="s">
        <v>2425</v>
      </c>
      <c r="I715" s="2" t="s">
        <v>2426</v>
      </c>
      <c r="J715" s="3">
        <v>42311</v>
      </c>
      <c r="K715" s="2" t="str">
        <f>HYPERLINK("https://docs.wto.org/imrd/directdoc.asp?DDFDocuments/t/G/SPS/NCHN977.DOC")</f>
        <v>https://docs.wto.org/imrd/directdoc.asp?DDFDocuments/t/G/SPS/NCHN977.DOC</v>
      </c>
      <c r="L715" s="2" t="str">
        <f>HYPERLINK("https://docs.wto.org/imrd/directdoc.asp?DDFDocuments/u/G/SPS/NCHN977.DOC")</f>
        <v>https://docs.wto.org/imrd/directdoc.asp?DDFDocuments/u/G/SPS/NCHN977.DOC</v>
      </c>
      <c r="M715" s="2" t="str">
        <f>HYPERLINK("https://docs.wto.org/imrd/directdoc.asp?DDFDocuments/v/G/SPS/NCHN977.DOC")</f>
        <v>https://docs.wto.org/imrd/directdoc.asp?DDFDocuments/v/G/SPS/NCHN977.DOC</v>
      </c>
      <c r="N715" s="2" t="str">
        <f>HYPERLINK("http://www.epingalert.org/#/details/G/SPS/N/CHN/977")</f>
        <v>http://www.epingalert.org/#/details/G/SPS/N/CHN/977</v>
      </c>
      <c r="O715" s="2"/>
    </row>
    <row r="716" spans="1:15" ht="240" customHeight="1" outlineLevel="1" x14ac:dyDescent="0.25">
      <c r="A716" s="2" t="s">
        <v>380</v>
      </c>
      <c r="B716" s="2" t="s">
        <v>3706</v>
      </c>
      <c r="C716" s="2" t="s">
        <v>3707</v>
      </c>
      <c r="D716" s="2" t="s">
        <v>3708</v>
      </c>
      <c r="E716" s="3">
        <v>42251</v>
      </c>
      <c r="F716" s="2" t="s">
        <v>3709</v>
      </c>
      <c r="G716" s="2"/>
      <c r="H716" s="2" t="s">
        <v>2425</v>
      </c>
      <c r="I716" s="2" t="s">
        <v>2426</v>
      </c>
      <c r="J716" s="3">
        <v>42311</v>
      </c>
      <c r="K716" s="2" t="str">
        <f>HYPERLINK("https://docs.wto.org/imrd/directdoc.asp?DDFDocuments/t/G/SPS/NCHN974.DOC")</f>
        <v>https://docs.wto.org/imrd/directdoc.asp?DDFDocuments/t/G/SPS/NCHN974.DOC</v>
      </c>
      <c r="L716" s="2" t="str">
        <f>HYPERLINK("https://docs.wto.org/imrd/directdoc.asp?DDFDocuments/u/G/SPS/NCHN974.DOC")</f>
        <v>https://docs.wto.org/imrd/directdoc.asp?DDFDocuments/u/G/SPS/NCHN974.DOC</v>
      </c>
      <c r="M716" s="2" t="str">
        <f>HYPERLINK("https://docs.wto.org/imrd/directdoc.asp?DDFDocuments/v/G/SPS/NCHN974.DOC")</f>
        <v>https://docs.wto.org/imrd/directdoc.asp?DDFDocuments/v/G/SPS/NCHN974.DOC</v>
      </c>
      <c r="N716" s="2" t="str">
        <f>HYPERLINK("http://www.epingalert.org/#/details/G/SPS/N/CHN/974")</f>
        <v>http://www.epingalert.org/#/details/G/SPS/N/CHN/974</v>
      </c>
      <c r="O716" s="2"/>
    </row>
    <row r="717" spans="1:15" ht="240" customHeight="1" outlineLevel="1" x14ac:dyDescent="0.25">
      <c r="A717" s="2" t="s">
        <v>380</v>
      </c>
      <c r="B717" s="2" t="s">
        <v>3710</v>
      </c>
      <c r="C717" s="2" t="s">
        <v>3711</v>
      </c>
      <c r="D717" s="2" t="s">
        <v>3712</v>
      </c>
      <c r="E717" s="3">
        <v>42251</v>
      </c>
      <c r="F717" s="2" t="s">
        <v>3713</v>
      </c>
      <c r="G717" s="2"/>
      <c r="H717" s="2" t="s">
        <v>2425</v>
      </c>
      <c r="I717" s="2" t="s">
        <v>2426</v>
      </c>
      <c r="J717" s="3">
        <v>42311</v>
      </c>
      <c r="K717" s="2" t="str">
        <f>HYPERLINK("https://docs.wto.org/imrd/directdoc.asp?DDFDocuments/t/G/SPS/NCHN973.DOC")</f>
        <v>https://docs.wto.org/imrd/directdoc.asp?DDFDocuments/t/G/SPS/NCHN973.DOC</v>
      </c>
      <c r="L717" s="2" t="str">
        <f>HYPERLINK("https://docs.wto.org/imrd/directdoc.asp?DDFDocuments/u/G/SPS/NCHN973.DOC")</f>
        <v>https://docs.wto.org/imrd/directdoc.asp?DDFDocuments/u/G/SPS/NCHN973.DOC</v>
      </c>
      <c r="M717" s="2" t="str">
        <f>HYPERLINK("https://docs.wto.org/imrd/directdoc.asp?DDFDocuments/v/G/SPS/NCHN973.DOC")</f>
        <v>https://docs.wto.org/imrd/directdoc.asp?DDFDocuments/v/G/SPS/NCHN973.DOC</v>
      </c>
      <c r="N717" s="2" t="str">
        <f>HYPERLINK("http://www.epingalert.org/#/details/G/SPS/N/CHN/973")</f>
        <v>http://www.epingalert.org/#/details/G/SPS/N/CHN/973</v>
      </c>
      <c r="O717" s="2"/>
    </row>
    <row r="718" spans="1:15" ht="240" customHeight="1" outlineLevel="1" x14ac:dyDescent="0.25">
      <c r="A718" s="2" t="s">
        <v>380</v>
      </c>
      <c r="B718" s="2" t="s">
        <v>3714</v>
      </c>
      <c r="C718" s="2" t="s">
        <v>3715</v>
      </c>
      <c r="D718" s="2" t="s">
        <v>3716</v>
      </c>
      <c r="E718" s="3">
        <v>42251</v>
      </c>
      <c r="F718" s="2" t="s">
        <v>3717</v>
      </c>
      <c r="G718" s="2"/>
      <c r="H718" s="2" t="s">
        <v>2425</v>
      </c>
      <c r="I718" s="2" t="s">
        <v>2426</v>
      </c>
      <c r="J718" s="3">
        <v>42311</v>
      </c>
      <c r="K718" s="2" t="str">
        <f>HYPERLINK("https://docs.wto.org/imrd/directdoc.asp?DDFDocuments/t/G/SPS/NCHN972.DOC")</f>
        <v>https://docs.wto.org/imrd/directdoc.asp?DDFDocuments/t/G/SPS/NCHN972.DOC</v>
      </c>
      <c r="L718" s="2" t="str">
        <f>HYPERLINK("https://docs.wto.org/imrd/directdoc.asp?DDFDocuments/u/G/SPS/NCHN972.DOC")</f>
        <v>https://docs.wto.org/imrd/directdoc.asp?DDFDocuments/u/G/SPS/NCHN972.DOC</v>
      </c>
      <c r="M718" s="2" t="str">
        <f>HYPERLINK("https://docs.wto.org/imrd/directdoc.asp?DDFDocuments/v/G/SPS/NCHN972.DOC")</f>
        <v>https://docs.wto.org/imrd/directdoc.asp?DDFDocuments/v/G/SPS/NCHN972.DOC</v>
      </c>
      <c r="N718" s="2" t="str">
        <f>HYPERLINK("http://www.epingalert.org/#/details/G/SPS/N/CHN/972")</f>
        <v>http://www.epingalert.org/#/details/G/SPS/N/CHN/972</v>
      </c>
      <c r="O718" s="2"/>
    </row>
    <row r="719" spans="1:15" ht="240" customHeight="1" outlineLevel="1" x14ac:dyDescent="0.25">
      <c r="A719" s="2" t="s">
        <v>380</v>
      </c>
      <c r="B719" s="2" t="s">
        <v>3718</v>
      </c>
      <c r="C719" s="2" t="s">
        <v>3719</v>
      </c>
      <c r="D719" s="2" t="s">
        <v>3720</v>
      </c>
      <c r="E719" s="3">
        <v>42251</v>
      </c>
      <c r="F719" s="2" t="s">
        <v>3721</v>
      </c>
      <c r="G719" s="2"/>
      <c r="H719" s="2" t="s">
        <v>2425</v>
      </c>
      <c r="I719" s="2" t="s">
        <v>2426</v>
      </c>
      <c r="J719" s="3">
        <v>42311</v>
      </c>
      <c r="K719" s="2" t="str">
        <f>HYPERLINK("https://docs.wto.org/imrd/directdoc.asp?DDFDocuments/t/G/SPS/NCHN971.DOC")</f>
        <v>https://docs.wto.org/imrd/directdoc.asp?DDFDocuments/t/G/SPS/NCHN971.DOC</v>
      </c>
      <c r="L719" s="2" t="str">
        <f>HYPERLINK("https://docs.wto.org/imrd/directdoc.asp?DDFDocuments/u/G/SPS/NCHN971.DOC")</f>
        <v>https://docs.wto.org/imrd/directdoc.asp?DDFDocuments/u/G/SPS/NCHN971.DOC</v>
      </c>
      <c r="M719" s="2" t="str">
        <f>HYPERLINK("https://docs.wto.org/imrd/directdoc.asp?DDFDocuments/v/G/SPS/NCHN971.DOC")</f>
        <v>https://docs.wto.org/imrd/directdoc.asp?DDFDocuments/v/G/SPS/NCHN971.DOC</v>
      </c>
      <c r="N719" s="2" t="str">
        <f>HYPERLINK("http://www.epingalert.org/#/details/G/SPS/N/CHN/971")</f>
        <v>http://www.epingalert.org/#/details/G/SPS/N/CHN/971</v>
      </c>
      <c r="O719" s="2"/>
    </row>
    <row r="720" spans="1:15" ht="240" customHeight="1" outlineLevel="1" x14ac:dyDescent="0.25">
      <c r="A720" s="2" t="s">
        <v>380</v>
      </c>
      <c r="B720" s="2" t="s">
        <v>3722</v>
      </c>
      <c r="C720" s="2" t="s">
        <v>3723</v>
      </c>
      <c r="D720" s="2" t="s">
        <v>3724</v>
      </c>
      <c r="E720" s="3">
        <v>42251</v>
      </c>
      <c r="F720" s="2" t="s">
        <v>3725</v>
      </c>
      <c r="G720" s="2"/>
      <c r="H720" s="2" t="s">
        <v>2425</v>
      </c>
      <c r="I720" s="2" t="s">
        <v>2426</v>
      </c>
      <c r="J720" s="3">
        <v>42311</v>
      </c>
      <c r="K720" s="2" t="str">
        <f>HYPERLINK("https://docs.wto.org/imrd/directdoc.asp?DDFDocuments/t/G/SPS/NCHN970.DOC")</f>
        <v>https://docs.wto.org/imrd/directdoc.asp?DDFDocuments/t/G/SPS/NCHN970.DOC</v>
      </c>
      <c r="L720" s="2" t="str">
        <f>HYPERLINK("https://docs.wto.org/imrd/directdoc.asp?DDFDocuments/u/G/SPS/NCHN970.DOC")</f>
        <v>https://docs.wto.org/imrd/directdoc.asp?DDFDocuments/u/G/SPS/NCHN970.DOC</v>
      </c>
      <c r="M720" s="2" t="str">
        <f>HYPERLINK("https://docs.wto.org/imrd/directdoc.asp?DDFDocuments/v/G/SPS/NCHN970.DOC")</f>
        <v>https://docs.wto.org/imrd/directdoc.asp?DDFDocuments/v/G/SPS/NCHN970.DOC</v>
      </c>
      <c r="N720" s="2" t="str">
        <f>HYPERLINK("http://www.epingalert.org/#/details/G/SPS/N/CHN/970")</f>
        <v>http://www.epingalert.org/#/details/G/SPS/N/CHN/970</v>
      </c>
      <c r="O720" s="2"/>
    </row>
    <row r="721" spans="1:15" ht="240" customHeight="1" outlineLevel="1" x14ac:dyDescent="0.25">
      <c r="A721" s="2" t="s">
        <v>380</v>
      </c>
      <c r="B721" s="2" t="s">
        <v>3726</v>
      </c>
      <c r="C721" s="2" t="s">
        <v>3727</v>
      </c>
      <c r="D721" s="2" t="s">
        <v>3728</v>
      </c>
      <c r="E721" s="3">
        <v>42251</v>
      </c>
      <c r="F721" s="2" t="s">
        <v>3729</v>
      </c>
      <c r="G721" s="2"/>
      <c r="H721" s="2" t="s">
        <v>2425</v>
      </c>
      <c r="I721" s="2" t="s">
        <v>2426</v>
      </c>
      <c r="J721" s="3">
        <v>42311</v>
      </c>
      <c r="K721" s="2" t="str">
        <f>HYPERLINK("https://docs.wto.org/imrd/directdoc.asp?DDFDocuments/t/G/SPS/NCHN969.DOC")</f>
        <v>https://docs.wto.org/imrd/directdoc.asp?DDFDocuments/t/G/SPS/NCHN969.DOC</v>
      </c>
      <c r="L721" s="2" t="str">
        <f>HYPERLINK("https://docs.wto.org/imrd/directdoc.asp?DDFDocuments/u/G/SPS/NCHN969.DOC")</f>
        <v>https://docs.wto.org/imrd/directdoc.asp?DDFDocuments/u/G/SPS/NCHN969.DOC</v>
      </c>
      <c r="M721" s="2" t="str">
        <f>HYPERLINK("https://docs.wto.org/imrd/directdoc.asp?DDFDocuments/v/G/SPS/NCHN969.DOC")</f>
        <v>https://docs.wto.org/imrd/directdoc.asp?DDFDocuments/v/G/SPS/NCHN969.DOC</v>
      </c>
      <c r="N721" s="2" t="str">
        <f>HYPERLINK("http://www.epingalert.org/#/details/G/SPS/N/CHN/969")</f>
        <v>http://www.epingalert.org/#/details/G/SPS/N/CHN/969</v>
      </c>
      <c r="O721" s="2"/>
    </row>
    <row r="722" spans="1:15" ht="240" customHeight="1" outlineLevel="1" x14ac:dyDescent="0.25">
      <c r="A722" s="2" t="s">
        <v>380</v>
      </c>
      <c r="B722" s="2" t="s">
        <v>3730</v>
      </c>
      <c r="C722" s="2" t="s">
        <v>3731</v>
      </c>
      <c r="D722" s="2" t="s">
        <v>3732</v>
      </c>
      <c r="E722" s="3">
        <v>42251</v>
      </c>
      <c r="F722" s="2" t="s">
        <v>3733</v>
      </c>
      <c r="G722" s="2"/>
      <c r="H722" s="2" t="s">
        <v>2425</v>
      </c>
      <c r="I722" s="2" t="s">
        <v>2426</v>
      </c>
      <c r="J722" s="3">
        <v>42311</v>
      </c>
      <c r="K722" s="2" t="str">
        <f>HYPERLINK("https://docs.wto.org/imrd/directdoc.asp?DDFDocuments/t/G/SPS/NCHN968.DOC")</f>
        <v>https://docs.wto.org/imrd/directdoc.asp?DDFDocuments/t/G/SPS/NCHN968.DOC</v>
      </c>
      <c r="L722" s="2" t="str">
        <f>HYPERLINK("https://docs.wto.org/imrd/directdoc.asp?DDFDocuments/u/G/SPS/NCHN968.DOC")</f>
        <v>https://docs.wto.org/imrd/directdoc.asp?DDFDocuments/u/G/SPS/NCHN968.DOC</v>
      </c>
      <c r="M722" s="2" t="str">
        <f>HYPERLINK("https://docs.wto.org/imrd/directdoc.asp?DDFDocuments/v/G/SPS/NCHN968.DOC")</f>
        <v>https://docs.wto.org/imrd/directdoc.asp?DDFDocuments/v/G/SPS/NCHN968.DOC</v>
      </c>
      <c r="N722" s="2" t="str">
        <f>HYPERLINK("http://www.epingalert.org/#/details/G/SPS/N/CHN/968")</f>
        <v>http://www.epingalert.org/#/details/G/SPS/N/CHN/968</v>
      </c>
      <c r="O722" s="2"/>
    </row>
    <row r="723" spans="1:15" ht="240" customHeight="1" outlineLevel="1" x14ac:dyDescent="0.25">
      <c r="A723" s="2" t="s">
        <v>380</v>
      </c>
      <c r="B723" s="2" t="s">
        <v>3734</v>
      </c>
      <c r="C723" s="2" t="s">
        <v>3735</v>
      </c>
      <c r="D723" s="2" t="s">
        <v>3736</v>
      </c>
      <c r="E723" s="3">
        <v>42251</v>
      </c>
      <c r="F723" s="2" t="s">
        <v>3737</v>
      </c>
      <c r="G723" s="2"/>
      <c r="H723" s="2" t="s">
        <v>2425</v>
      </c>
      <c r="I723" s="2" t="s">
        <v>2426</v>
      </c>
      <c r="J723" s="3">
        <v>42311</v>
      </c>
      <c r="K723" s="2" t="str">
        <f>HYPERLINK("https://docs.wto.org/imrd/directdoc.asp?DDFDocuments/t/G/SPS/NCHN967.DOC")</f>
        <v>https://docs.wto.org/imrd/directdoc.asp?DDFDocuments/t/G/SPS/NCHN967.DOC</v>
      </c>
      <c r="L723" s="2" t="str">
        <f>HYPERLINK("https://docs.wto.org/imrd/directdoc.asp?DDFDocuments/u/G/SPS/NCHN967.DOC")</f>
        <v>https://docs.wto.org/imrd/directdoc.asp?DDFDocuments/u/G/SPS/NCHN967.DOC</v>
      </c>
      <c r="M723" s="2" t="str">
        <f>HYPERLINK("https://docs.wto.org/imrd/directdoc.asp?DDFDocuments/v/G/SPS/NCHN967.DOC")</f>
        <v>https://docs.wto.org/imrd/directdoc.asp?DDFDocuments/v/G/SPS/NCHN967.DOC</v>
      </c>
      <c r="N723" s="2" t="str">
        <f>HYPERLINK("http://www.epingalert.org/#/details/G/SPS/N/CHN/967")</f>
        <v>http://www.epingalert.org/#/details/G/SPS/N/CHN/967</v>
      </c>
      <c r="O723" s="2"/>
    </row>
    <row r="724" spans="1:15" ht="240" customHeight="1" outlineLevel="1" x14ac:dyDescent="0.25">
      <c r="A724" s="2" t="s">
        <v>380</v>
      </c>
      <c r="B724" s="2" t="s">
        <v>3738</v>
      </c>
      <c r="C724" s="2" t="s">
        <v>3739</v>
      </c>
      <c r="D724" s="2" t="s">
        <v>3740</v>
      </c>
      <c r="E724" s="3">
        <v>42251</v>
      </c>
      <c r="F724" s="2" t="s">
        <v>3741</v>
      </c>
      <c r="G724" s="2"/>
      <c r="H724" s="2" t="s">
        <v>2425</v>
      </c>
      <c r="I724" s="2" t="s">
        <v>2426</v>
      </c>
      <c r="J724" s="3">
        <v>42311</v>
      </c>
      <c r="K724" s="2" t="str">
        <f>HYPERLINK("https://docs.wto.org/imrd/directdoc.asp?DDFDocuments/t/G/SPS/NCHN966.DOC")</f>
        <v>https://docs.wto.org/imrd/directdoc.asp?DDFDocuments/t/G/SPS/NCHN966.DOC</v>
      </c>
      <c r="L724" s="2" t="str">
        <f>HYPERLINK("https://docs.wto.org/imrd/directdoc.asp?DDFDocuments/u/G/SPS/NCHN966.DOC")</f>
        <v>https://docs.wto.org/imrd/directdoc.asp?DDFDocuments/u/G/SPS/NCHN966.DOC</v>
      </c>
      <c r="M724" s="2" t="str">
        <f>HYPERLINK("https://docs.wto.org/imrd/directdoc.asp?DDFDocuments/v/G/SPS/NCHN966.DOC")</f>
        <v>https://docs.wto.org/imrd/directdoc.asp?DDFDocuments/v/G/SPS/NCHN966.DOC</v>
      </c>
      <c r="N724" s="2" t="str">
        <f>HYPERLINK("http://www.epingalert.org/#/details/G/SPS/N/CHN/966")</f>
        <v>http://www.epingalert.org/#/details/G/SPS/N/CHN/966</v>
      </c>
      <c r="O724" s="2"/>
    </row>
    <row r="725" spans="1:15" ht="240" customHeight="1" outlineLevel="1" x14ac:dyDescent="0.25">
      <c r="A725" s="2" t="s">
        <v>380</v>
      </c>
      <c r="B725" s="2" t="s">
        <v>3742</v>
      </c>
      <c r="C725" s="2" t="s">
        <v>3743</v>
      </c>
      <c r="D725" s="2" t="s">
        <v>3744</v>
      </c>
      <c r="E725" s="3">
        <v>42251</v>
      </c>
      <c r="F725" s="2" t="s">
        <v>3745</v>
      </c>
      <c r="G725" s="2"/>
      <c r="H725" s="2" t="s">
        <v>2425</v>
      </c>
      <c r="I725" s="2" t="s">
        <v>2426</v>
      </c>
      <c r="J725" s="3">
        <v>42311</v>
      </c>
      <c r="K725" s="2" t="str">
        <f>HYPERLINK("https://docs.wto.org/imrd/directdoc.asp?DDFDocuments/t/G/SPS/NCHN965.DOC")</f>
        <v>https://docs.wto.org/imrd/directdoc.asp?DDFDocuments/t/G/SPS/NCHN965.DOC</v>
      </c>
      <c r="L725" s="2" t="str">
        <f>HYPERLINK("https://docs.wto.org/imrd/directdoc.asp?DDFDocuments/u/G/SPS/NCHN965.DOC")</f>
        <v>https://docs.wto.org/imrd/directdoc.asp?DDFDocuments/u/G/SPS/NCHN965.DOC</v>
      </c>
      <c r="M725" s="2" t="str">
        <f>HYPERLINK("https://docs.wto.org/imrd/directdoc.asp?DDFDocuments/v/G/SPS/NCHN965.DOC")</f>
        <v>https://docs.wto.org/imrd/directdoc.asp?DDFDocuments/v/G/SPS/NCHN965.DOC</v>
      </c>
      <c r="N725" s="2" t="str">
        <f>HYPERLINK("http://www.epingalert.org/#/details/G/SPS/N/CHN/965")</f>
        <v>http://www.epingalert.org/#/details/G/SPS/N/CHN/965</v>
      </c>
      <c r="O725" s="2"/>
    </row>
    <row r="726" spans="1:15" ht="240" customHeight="1" outlineLevel="1" x14ac:dyDescent="0.25">
      <c r="A726" s="2" t="s">
        <v>380</v>
      </c>
      <c r="B726" s="2" t="s">
        <v>3746</v>
      </c>
      <c r="C726" s="2" t="s">
        <v>3747</v>
      </c>
      <c r="D726" s="2" t="s">
        <v>3748</v>
      </c>
      <c r="E726" s="3">
        <v>42251</v>
      </c>
      <c r="F726" s="2" t="s">
        <v>3749</v>
      </c>
      <c r="G726" s="2"/>
      <c r="H726" s="2" t="s">
        <v>2425</v>
      </c>
      <c r="I726" s="2" t="s">
        <v>2426</v>
      </c>
      <c r="J726" s="3">
        <v>42311</v>
      </c>
      <c r="K726" s="2" t="str">
        <f>HYPERLINK("https://docs.wto.org/imrd/directdoc.asp?DDFDocuments/t/G/SPS/NCHN964.DOC")</f>
        <v>https://docs.wto.org/imrd/directdoc.asp?DDFDocuments/t/G/SPS/NCHN964.DOC</v>
      </c>
      <c r="L726" s="2" t="str">
        <f>HYPERLINK("https://docs.wto.org/imrd/directdoc.asp?DDFDocuments/u/G/SPS/NCHN964.DOC")</f>
        <v>https://docs.wto.org/imrd/directdoc.asp?DDFDocuments/u/G/SPS/NCHN964.DOC</v>
      </c>
      <c r="M726" s="2" t="str">
        <f>HYPERLINK("https://docs.wto.org/imrd/directdoc.asp?DDFDocuments/v/G/SPS/NCHN964.DOC")</f>
        <v>https://docs.wto.org/imrd/directdoc.asp?DDFDocuments/v/G/SPS/NCHN964.DOC</v>
      </c>
      <c r="N726" s="2" t="str">
        <f>HYPERLINK("http://www.epingalert.org/#/details/G/SPS/N/CHN/964")</f>
        <v>http://www.epingalert.org/#/details/G/SPS/N/CHN/964</v>
      </c>
      <c r="O726" s="2"/>
    </row>
    <row r="727" spans="1:15" ht="240" customHeight="1" outlineLevel="1" x14ac:dyDescent="0.25">
      <c r="A727" s="2" t="s">
        <v>380</v>
      </c>
      <c r="B727" s="2" t="s">
        <v>3750</v>
      </c>
      <c r="C727" s="2" t="s">
        <v>3751</v>
      </c>
      <c r="D727" s="2" t="s">
        <v>3752</v>
      </c>
      <c r="E727" s="3">
        <v>42251</v>
      </c>
      <c r="F727" s="2" t="s">
        <v>3753</v>
      </c>
      <c r="G727" s="2"/>
      <c r="H727" s="2" t="s">
        <v>2425</v>
      </c>
      <c r="I727" s="2" t="s">
        <v>2426</v>
      </c>
      <c r="J727" s="3">
        <v>42311</v>
      </c>
      <c r="K727" s="2" t="str">
        <f>HYPERLINK("https://docs.wto.org/imrd/directdoc.asp?DDFDocuments/t/G/SPS/NCHN963.DOC")</f>
        <v>https://docs.wto.org/imrd/directdoc.asp?DDFDocuments/t/G/SPS/NCHN963.DOC</v>
      </c>
      <c r="L727" s="2" t="str">
        <f>HYPERLINK("https://docs.wto.org/imrd/directdoc.asp?DDFDocuments/u/G/SPS/NCHN963.DOC")</f>
        <v>https://docs.wto.org/imrd/directdoc.asp?DDFDocuments/u/G/SPS/NCHN963.DOC</v>
      </c>
      <c r="M727" s="2" t="str">
        <f>HYPERLINK("https://docs.wto.org/imrd/directdoc.asp?DDFDocuments/v/G/SPS/NCHN963.DOC")</f>
        <v>https://docs.wto.org/imrd/directdoc.asp?DDFDocuments/v/G/SPS/NCHN963.DOC</v>
      </c>
      <c r="N727" s="2" t="str">
        <f>HYPERLINK("http://www.epingalert.org/#/details/G/SPS/N/CHN/963")</f>
        <v>http://www.epingalert.org/#/details/G/SPS/N/CHN/963</v>
      </c>
      <c r="O727" s="2"/>
    </row>
    <row r="728" spans="1:15" ht="240" customHeight="1" outlineLevel="1" x14ac:dyDescent="0.25">
      <c r="A728" s="2" t="s">
        <v>380</v>
      </c>
      <c r="B728" s="2" t="s">
        <v>3754</v>
      </c>
      <c r="C728" s="2" t="s">
        <v>3755</v>
      </c>
      <c r="D728" s="2" t="s">
        <v>3756</v>
      </c>
      <c r="E728" s="3">
        <v>42251</v>
      </c>
      <c r="F728" s="2" t="s">
        <v>3757</v>
      </c>
      <c r="G728" s="2"/>
      <c r="H728" s="2" t="s">
        <v>2425</v>
      </c>
      <c r="I728" s="2" t="s">
        <v>2426</v>
      </c>
      <c r="J728" s="3">
        <v>42311</v>
      </c>
      <c r="K728" s="2" t="str">
        <f>HYPERLINK("https://docs.wto.org/imrd/directdoc.asp?DDFDocuments/t/G/SPS/NCHN962.DOC")</f>
        <v>https://docs.wto.org/imrd/directdoc.asp?DDFDocuments/t/G/SPS/NCHN962.DOC</v>
      </c>
      <c r="L728" s="2" t="str">
        <f>HYPERLINK("https://docs.wto.org/imrd/directdoc.asp?DDFDocuments/u/G/SPS/NCHN962.DOC")</f>
        <v>https://docs.wto.org/imrd/directdoc.asp?DDFDocuments/u/G/SPS/NCHN962.DOC</v>
      </c>
      <c r="M728" s="2" t="str">
        <f>HYPERLINK("https://docs.wto.org/imrd/directdoc.asp?DDFDocuments/v/G/SPS/NCHN962.DOC")</f>
        <v>https://docs.wto.org/imrd/directdoc.asp?DDFDocuments/v/G/SPS/NCHN962.DOC</v>
      </c>
      <c r="N728" s="2" t="str">
        <f>HYPERLINK("http://www.epingalert.org/#/details/G/SPS/N/CHN/962")</f>
        <v>http://www.epingalert.org/#/details/G/SPS/N/CHN/962</v>
      </c>
      <c r="O728" s="2"/>
    </row>
    <row r="729" spans="1:15" ht="240" customHeight="1" outlineLevel="1" x14ac:dyDescent="0.25">
      <c r="A729" s="2" t="s">
        <v>380</v>
      </c>
      <c r="B729" s="2" t="s">
        <v>3758</v>
      </c>
      <c r="C729" s="2" t="s">
        <v>3759</v>
      </c>
      <c r="D729" s="2" t="s">
        <v>3760</v>
      </c>
      <c r="E729" s="3">
        <v>42251</v>
      </c>
      <c r="F729" s="2" t="s">
        <v>3761</v>
      </c>
      <c r="G729" s="2"/>
      <c r="H729" s="2" t="s">
        <v>2425</v>
      </c>
      <c r="I729" s="2" t="s">
        <v>2426</v>
      </c>
      <c r="J729" s="3">
        <v>42311</v>
      </c>
      <c r="K729" s="2" t="str">
        <f>HYPERLINK("https://docs.wto.org/imrd/directdoc.asp?DDFDocuments/t/G/SPS/NCHN961.DOC")</f>
        <v>https://docs.wto.org/imrd/directdoc.asp?DDFDocuments/t/G/SPS/NCHN961.DOC</v>
      </c>
      <c r="L729" s="2" t="str">
        <f>HYPERLINK("https://docs.wto.org/imrd/directdoc.asp?DDFDocuments/u/G/SPS/NCHN961.DOC")</f>
        <v>https://docs.wto.org/imrd/directdoc.asp?DDFDocuments/u/G/SPS/NCHN961.DOC</v>
      </c>
      <c r="M729" s="2" t="str">
        <f>HYPERLINK("https://docs.wto.org/imrd/directdoc.asp?DDFDocuments/v/G/SPS/NCHN961.DOC")</f>
        <v>https://docs.wto.org/imrd/directdoc.asp?DDFDocuments/v/G/SPS/NCHN961.DOC</v>
      </c>
      <c r="N729" s="2" t="str">
        <f>HYPERLINK("http://www.epingalert.org/#/details/G/SPS/N/CHN/961")</f>
        <v>http://www.epingalert.org/#/details/G/SPS/N/CHN/961</v>
      </c>
      <c r="O729" s="2"/>
    </row>
    <row r="730" spans="1:15" ht="240" customHeight="1" outlineLevel="1" x14ac:dyDescent="0.25">
      <c r="A730" s="2" t="s">
        <v>380</v>
      </c>
      <c r="B730" s="2" t="s">
        <v>3762</v>
      </c>
      <c r="C730" s="2" t="s">
        <v>3763</v>
      </c>
      <c r="D730" s="2" t="s">
        <v>3764</v>
      </c>
      <c r="E730" s="3">
        <v>42251</v>
      </c>
      <c r="F730" s="2" t="s">
        <v>3765</v>
      </c>
      <c r="G730" s="2"/>
      <c r="H730" s="2" t="s">
        <v>2425</v>
      </c>
      <c r="I730" s="2" t="s">
        <v>2426</v>
      </c>
      <c r="J730" s="3">
        <v>42311</v>
      </c>
      <c r="K730" s="2" t="str">
        <f>HYPERLINK("https://docs.wto.org/imrd/directdoc.asp?DDFDocuments/t/G/SPS/NCHN960.DOC")</f>
        <v>https://docs.wto.org/imrd/directdoc.asp?DDFDocuments/t/G/SPS/NCHN960.DOC</v>
      </c>
      <c r="L730" s="2" t="str">
        <f>HYPERLINK("https://docs.wto.org/imrd/directdoc.asp?DDFDocuments/u/G/SPS/NCHN960.DOC")</f>
        <v>https://docs.wto.org/imrd/directdoc.asp?DDFDocuments/u/G/SPS/NCHN960.DOC</v>
      </c>
      <c r="M730" s="2" t="str">
        <f>HYPERLINK("https://docs.wto.org/imrd/directdoc.asp?DDFDocuments/v/G/SPS/NCHN960.DOC")</f>
        <v>https://docs.wto.org/imrd/directdoc.asp?DDFDocuments/v/G/SPS/NCHN960.DOC</v>
      </c>
      <c r="N730" s="2" t="str">
        <f>HYPERLINK("http://www.epingalert.org/#/details/G/SPS/N/CHN/960")</f>
        <v>http://www.epingalert.org/#/details/G/SPS/N/CHN/960</v>
      </c>
      <c r="O730" s="2"/>
    </row>
    <row r="731" spans="1:15" ht="240" customHeight="1" outlineLevel="1" x14ac:dyDescent="0.25">
      <c r="A731" s="2" t="s">
        <v>380</v>
      </c>
      <c r="B731" s="2" t="s">
        <v>3766</v>
      </c>
      <c r="C731" s="2" t="s">
        <v>3767</v>
      </c>
      <c r="D731" s="2" t="s">
        <v>3768</v>
      </c>
      <c r="E731" s="3">
        <v>42251</v>
      </c>
      <c r="F731" s="2" t="s">
        <v>3769</v>
      </c>
      <c r="G731" s="2"/>
      <c r="H731" s="2" t="s">
        <v>2425</v>
      </c>
      <c r="I731" s="2" t="s">
        <v>2426</v>
      </c>
      <c r="J731" s="3">
        <v>42311</v>
      </c>
      <c r="K731" s="2" t="str">
        <f>HYPERLINK("https://docs.wto.org/imrd/directdoc.asp?DDFDocuments/t/G/SPS/NCHN959.DOC")</f>
        <v>https://docs.wto.org/imrd/directdoc.asp?DDFDocuments/t/G/SPS/NCHN959.DOC</v>
      </c>
      <c r="L731" s="2" t="str">
        <f>HYPERLINK("https://docs.wto.org/imrd/directdoc.asp?DDFDocuments/u/G/SPS/NCHN959.DOC")</f>
        <v>https://docs.wto.org/imrd/directdoc.asp?DDFDocuments/u/G/SPS/NCHN959.DOC</v>
      </c>
      <c r="M731" s="2" t="str">
        <f>HYPERLINK("https://docs.wto.org/imrd/directdoc.asp?DDFDocuments/v/G/SPS/NCHN959.DOC")</f>
        <v>https://docs.wto.org/imrd/directdoc.asp?DDFDocuments/v/G/SPS/NCHN959.DOC</v>
      </c>
      <c r="N731" s="2" t="str">
        <f>HYPERLINK("http://www.epingalert.org/#/details/G/SPS/N/CHN/959")</f>
        <v>http://www.epingalert.org/#/details/G/SPS/N/CHN/959</v>
      </c>
      <c r="O731" s="2"/>
    </row>
    <row r="732" spans="1:15" ht="240" customHeight="1" outlineLevel="1" x14ac:dyDescent="0.25">
      <c r="A732" s="2" t="s">
        <v>380</v>
      </c>
      <c r="B732" s="2" t="s">
        <v>3770</v>
      </c>
      <c r="C732" s="2" t="s">
        <v>3771</v>
      </c>
      <c r="D732" s="2" t="s">
        <v>3772</v>
      </c>
      <c r="E732" s="3">
        <v>42251</v>
      </c>
      <c r="F732" s="2" t="s">
        <v>3773</v>
      </c>
      <c r="G732" s="2"/>
      <c r="H732" s="2" t="s">
        <v>2425</v>
      </c>
      <c r="I732" s="2" t="s">
        <v>2426</v>
      </c>
      <c r="J732" s="3">
        <v>42311</v>
      </c>
      <c r="K732" s="2" t="str">
        <f>HYPERLINK("https://docs.wto.org/imrd/directdoc.asp?DDFDocuments/t/G/SPS/NCHN958.DOC")</f>
        <v>https://docs.wto.org/imrd/directdoc.asp?DDFDocuments/t/G/SPS/NCHN958.DOC</v>
      </c>
      <c r="L732" s="2" t="str">
        <f>HYPERLINK("https://docs.wto.org/imrd/directdoc.asp?DDFDocuments/u/G/SPS/NCHN958.DOC")</f>
        <v>https://docs.wto.org/imrd/directdoc.asp?DDFDocuments/u/G/SPS/NCHN958.DOC</v>
      </c>
      <c r="M732" s="2" t="str">
        <f>HYPERLINK("https://docs.wto.org/imrd/directdoc.asp?DDFDocuments/v/G/SPS/NCHN958.DOC")</f>
        <v>https://docs.wto.org/imrd/directdoc.asp?DDFDocuments/v/G/SPS/NCHN958.DOC</v>
      </c>
      <c r="N732" s="2" t="str">
        <f>HYPERLINK("http://www.epingalert.org/#/details/G/SPS/N/CHN/958")</f>
        <v>http://www.epingalert.org/#/details/G/SPS/N/CHN/958</v>
      </c>
      <c r="O732" s="2"/>
    </row>
    <row r="733" spans="1:15" ht="240" customHeight="1" outlineLevel="1" x14ac:dyDescent="0.25">
      <c r="A733" s="2" t="s">
        <v>380</v>
      </c>
      <c r="B733" s="2" t="s">
        <v>3774</v>
      </c>
      <c r="C733" s="2" t="s">
        <v>3775</v>
      </c>
      <c r="D733" s="2" t="s">
        <v>3776</v>
      </c>
      <c r="E733" s="3">
        <v>42251</v>
      </c>
      <c r="F733" s="2" t="s">
        <v>3777</v>
      </c>
      <c r="G733" s="2"/>
      <c r="H733" s="2" t="s">
        <v>2425</v>
      </c>
      <c r="I733" s="2" t="s">
        <v>2426</v>
      </c>
      <c r="J733" s="3">
        <v>42311</v>
      </c>
      <c r="K733" s="2" t="str">
        <f>HYPERLINK("https://docs.wto.org/imrd/directdoc.asp?DDFDocuments/t/G/SPS/NCHN957.DOC")</f>
        <v>https://docs.wto.org/imrd/directdoc.asp?DDFDocuments/t/G/SPS/NCHN957.DOC</v>
      </c>
      <c r="L733" s="2" t="str">
        <f>HYPERLINK("https://docs.wto.org/imrd/directdoc.asp?DDFDocuments/u/G/SPS/NCHN957.DOC")</f>
        <v>https://docs.wto.org/imrd/directdoc.asp?DDFDocuments/u/G/SPS/NCHN957.DOC</v>
      </c>
      <c r="M733" s="2" t="str">
        <f>HYPERLINK("https://docs.wto.org/imrd/directdoc.asp?DDFDocuments/v/G/SPS/NCHN957.DOC")</f>
        <v>https://docs.wto.org/imrd/directdoc.asp?DDFDocuments/v/G/SPS/NCHN957.DOC</v>
      </c>
      <c r="N733" s="2" t="str">
        <f>HYPERLINK("http://www.epingalert.org/#/details/G/SPS/N/CHN/957")</f>
        <v>http://www.epingalert.org/#/details/G/SPS/N/CHN/957</v>
      </c>
      <c r="O733" s="2"/>
    </row>
    <row r="734" spans="1:15" ht="240" customHeight="1" outlineLevel="1" x14ac:dyDescent="0.25">
      <c r="A734" s="2" t="s">
        <v>380</v>
      </c>
      <c r="B734" s="2" t="s">
        <v>3778</v>
      </c>
      <c r="C734" s="2" t="s">
        <v>3779</v>
      </c>
      <c r="D734" s="2" t="s">
        <v>3780</v>
      </c>
      <c r="E734" s="3">
        <v>42251</v>
      </c>
      <c r="F734" s="2" t="s">
        <v>3781</v>
      </c>
      <c r="G734" s="2"/>
      <c r="H734" s="2" t="s">
        <v>2425</v>
      </c>
      <c r="I734" s="2" t="s">
        <v>2426</v>
      </c>
      <c r="J734" s="3">
        <v>42311</v>
      </c>
      <c r="K734" s="2" t="str">
        <f>HYPERLINK("https://docs.wto.org/imrd/directdoc.asp?DDFDocuments/t/G/SPS/NCHN956.DOC")</f>
        <v>https://docs.wto.org/imrd/directdoc.asp?DDFDocuments/t/G/SPS/NCHN956.DOC</v>
      </c>
      <c r="L734" s="2" t="str">
        <f>HYPERLINK("https://docs.wto.org/imrd/directdoc.asp?DDFDocuments/u/G/SPS/NCHN956.DOC")</f>
        <v>https://docs.wto.org/imrd/directdoc.asp?DDFDocuments/u/G/SPS/NCHN956.DOC</v>
      </c>
      <c r="M734" s="2" t="str">
        <f>HYPERLINK("https://docs.wto.org/imrd/directdoc.asp?DDFDocuments/v/G/SPS/NCHN956.DOC")</f>
        <v>https://docs.wto.org/imrd/directdoc.asp?DDFDocuments/v/G/SPS/NCHN956.DOC</v>
      </c>
      <c r="N734" s="2" t="str">
        <f>HYPERLINK("http://www.epingalert.org/#/details/G/SPS/N/CHN/956")</f>
        <v>http://www.epingalert.org/#/details/G/SPS/N/CHN/956</v>
      </c>
      <c r="O734" s="2"/>
    </row>
    <row r="735" spans="1:15" ht="240" customHeight="1" outlineLevel="1" x14ac:dyDescent="0.25">
      <c r="A735" s="2" t="s">
        <v>380</v>
      </c>
      <c r="B735" s="2" t="s">
        <v>3782</v>
      </c>
      <c r="C735" s="2" t="s">
        <v>3783</v>
      </c>
      <c r="D735" s="2" t="s">
        <v>3784</v>
      </c>
      <c r="E735" s="3">
        <v>42251</v>
      </c>
      <c r="F735" s="2" t="s">
        <v>3785</v>
      </c>
      <c r="G735" s="2"/>
      <c r="H735" s="2" t="s">
        <v>2425</v>
      </c>
      <c r="I735" s="2" t="s">
        <v>2426</v>
      </c>
      <c r="J735" s="3">
        <v>42311</v>
      </c>
      <c r="K735" s="2" t="str">
        <f>HYPERLINK("https://docs.wto.org/imrd/directdoc.asp?DDFDocuments/t/G/SPS/NCHN955.DOC")</f>
        <v>https://docs.wto.org/imrd/directdoc.asp?DDFDocuments/t/G/SPS/NCHN955.DOC</v>
      </c>
      <c r="L735" s="2" t="str">
        <f>HYPERLINK("https://docs.wto.org/imrd/directdoc.asp?DDFDocuments/u/G/SPS/NCHN955.DOC")</f>
        <v>https://docs.wto.org/imrd/directdoc.asp?DDFDocuments/u/G/SPS/NCHN955.DOC</v>
      </c>
      <c r="M735" s="2" t="str">
        <f>HYPERLINK("https://docs.wto.org/imrd/directdoc.asp?DDFDocuments/v/G/SPS/NCHN955.DOC")</f>
        <v>https://docs.wto.org/imrd/directdoc.asp?DDFDocuments/v/G/SPS/NCHN955.DOC</v>
      </c>
      <c r="N735" s="2" t="str">
        <f>HYPERLINK("http://www.epingalert.org/#/details/G/SPS/N/CHN/955")</f>
        <v>http://www.epingalert.org/#/details/G/SPS/N/CHN/955</v>
      </c>
      <c r="O735" s="2"/>
    </row>
    <row r="736" spans="1:15" ht="240" customHeight="1" outlineLevel="1" x14ac:dyDescent="0.25">
      <c r="A736" s="2" t="s">
        <v>380</v>
      </c>
      <c r="B736" s="2" t="s">
        <v>3786</v>
      </c>
      <c r="C736" s="2" t="s">
        <v>3787</v>
      </c>
      <c r="D736" s="2" t="s">
        <v>3788</v>
      </c>
      <c r="E736" s="3">
        <v>42251</v>
      </c>
      <c r="F736" s="2" t="s">
        <v>3789</v>
      </c>
      <c r="G736" s="2"/>
      <c r="H736" s="2" t="s">
        <v>2425</v>
      </c>
      <c r="I736" s="2" t="s">
        <v>2426</v>
      </c>
      <c r="J736" s="3">
        <v>42311</v>
      </c>
      <c r="K736" s="2" t="str">
        <f>HYPERLINK("https://docs.wto.org/imrd/directdoc.asp?DDFDocuments/t/G/SPS/NCHN954.DOC")</f>
        <v>https://docs.wto.org/imrd/directdoc.asp?DDFDocuments/t/G/SPS/NCHN954.DOC</v>
      </c>
      <c r="L736" s="2" t="str">
        <f>HYPERLINK("https://docs.wto.org/imrd/directdoc.asp?DDFDocuments/u/G/SPS/NCHN954.DOC")</f>
        <v>https://docs.wto.org/imrd/directdoc.asp?DDFDocuments/u/G/SPS/NCHN954.DOC</v>
      </c>
      <c r="M736" s="2" t="str">
        <f>HYPERLINK("https://docs.wto.org/imrd/directdoc.asp?DDFDocuments/v/G/SPS/NCHN954.DOC")</f>
        <v>https://docs.wto.org/imrd/directdoc.asp?DDFDocuments/v/G/SPS/NCHN954.DOC</v>
      </c>
      <c r="N736" s="2" t="str">
        <f>HYPERLINK("http://www.epingalert.org/#/details/G/SPS/N/CHN/954")</f>
        <v>http://www.epingalert.org/#/details/G/SPS/N/CHN/954</v>
      </c>
      <c r="O736" s="2"/>
    </row>
    <row r="737" spans="1:15" ht="240" customHeight="1" outlineLevel="1" x14ac:dyDescent="0.25">
      <c r="A737" s="2" t="s">
        <v>380</v>
      </c>
      <c r="B737" s="2" t="s">
        <v>3790</v>
      </c>
      <c r="C737" s="2" t="s">
        <v>3791</v>
      </c>
      <c r="D737" s="2" t="s">
        <v>3792</v>
      </c>
      <c r="E737" s="3">
        <v>42251</v>
      </c>
      <c r="F737" s="2" t="s">
        <v>3793</v>
      </c>
      <c r="G737" s="2"/>
      <c r="H737" s="2" t="s">
        <v>2425</v>
      </c>
      <c r="I737" s="2" t="s">
        <v>2426</v>
      </c>
      <c r="J737" s="3">
        <v>42311</v>
      </c>
      <c r="K737" s="2" t="str">
        <f>HYPERLINK("https://docs.wto.org/imrd/directdoc.asp?DDFDocuments/t/G/SPS/NCHN953.DOC")</f>
        <v>https://docs.wto.org/imrd/directdoc.asp?DDFDocuments/t/G/SPS/NCHN953.DOC</v>
      </c>
      <c r="L737" s="2" t="str">
        <f>HYPERLINK("https://docs.wto.org/imrd/directdoc.asp?DDFDocuments/u/G/SPS/NCHN953.DOC")</f>
        <v>https://docs.wto.org/imrd/directdoc.asp?DDFDocuments/u/G/SPS/NCHN953.DOC</v>
      </c>
      <c r="M737" s="2" t="str">
        <f>HYPERLINK("https://docs.wto.org/imrd/directdoc.asp?DDFDocuments/v/G/SPS/NCHN953.DOC")</f>
        <v>https://docs.wto.org/imrd/directdoc.asp?DDFDocuments/v/G/SPS/NCHN953.DOC</v>
      </c>
      <c r="N737" s="2" t="str">
        <f>HYPERLINK("http://www.epingalert.org/#/details/G/SPS/N/CHN/953")</f>
        <v>http://www.epingalert.org/#/details/G/SPS/N/CHN/953</v>
      </c>
      <c r="O737" s="2"/>
    </row>
    <row r="738" spans="1:15" ht="240" customHeight="1" outlineLevel="1" x14ac:dyDescent="0.25">
      <c r="A738" s="2" t="s">
        <v>380</v>
      </c>
      <c r="B738" s="2" t="s">
        <v>3794</v>
      </c>
      <c r="C738" s="2" t="s">
        <v>3795</v>
      </c>
      <c r="D738" s="2" t="s">
        <v>3796</v>
      </c>
      <c r="E738" s="3">
        <v>42251</v>
      </c>
      <c r="F738" s="2" t="s">
        <v>3797</v>
      </c>
      <c r="G738" s="2"/>
      <c r="H738" s="2" t="s">
        <v>2425</v>
      </c>
      <c r="I738" s="2" t="s">
        <v>2426</v>
      </c>
      <c r="J738" s="3">
        <v>42311</v>
      </c>
      <c r="K738" s="2" t="str">
        <f>HYPERLINK("https://docs.wto.org/imrd/directdoc.asp?DDFDocuments/t/G/SPS/NCHN952.DOC")</f>
        <v>https://docs.wto.org/imrd/directdoc.asp?DDFDocuments/t/G/SPS/NCHN952.DOC</v>
      </c>
      <c r="L738" s="2" t="str">
        <f>HYPERLINK("https://docs.wto.org/imrd/directdoc.asp?DDFDocuments/u/G/SPS/NCHN952.DOC")</f>
        <v>https://docs.wto.org/imrd/directdoc.asp?DDFDocuments/u/G/SPS/NCHN952.DOC</v>
      </c>
      <c r="M738" s="2" t="str">
        <f>HYPERLINK("https://docs.wto.org/imrd/directdoc.asp?DDFDocuments/v/G/SPS/NCHN952.DOC")</f>
        <v>https://docs.wto.org/imrd/directdoc.asp?DDFDocuments/v/G/SPS/NCHN952.DOC</v>
      </c>
      <c r="N738" s="2" t="str">
        <f>HYPERLINK("http://www.epingalert.org/#/details/G/SPS/N/CHN/952")</f>
        <v>http://www.epingalert.org/#/details/G/SPS/N/CHN/952</v>
      </c>
      <c r="O738" s="2"/>
    </row>
    <row r="739" spans="1:15" ht="240" customHeight="1" outlineLevel="1" x14ac:dyDescent="0.25">
      <c r="A739" s="2" t="s">
        <v>380</v>
      </c>
      <c r="B739" s="2" t="s">
        <v>3798</v>
      </c>
      <c r="C739" s="2" t="s">
        <v>3799</v>
      </c>
      <c r="D739" s="2" t="s">
        <v>3800</v>
      </c>
      <c r="E739" s="3">
        <v>42251</v>
      </c>
      <c r="F739" s="2" t="s">
        <v>3801</v>
      </c>
      <c r="G739" s="2"/>
      <c r="H739" s="2" t="s">
        <v>2425</v>
      </c>
      <c r="I739" s="2" t="s">
        <v>2426</v>
      </c>
      <c r="J739" s="3">
        <v>42311</v>
      </c>
      <c r="K739" s="2" t="str">
        <f>HYPERLINK("https://docs.wto.org/imrd/directdoc.asp?DDFDocuments/t/G/SPS/NCHN950.DOC")</f>
        <v>https://docs.wto.org/imrd/directdoc.asp?DDFDocuments/t/G/SPS/NCHN950.DOC</v>
      </c>
      <c r="L739" s="2" t="str">
        <f>HYPERLINK("https://docs.wto.org/imrd/directdoc.asp?DDFDocuments/u/G/SPS/NCHN950.DOC")</f>
        <v>https://docs.wto.org/imrd/directdoc.asp?DDFDocuments/u/G/SPS/NCHN950.DOC</v>
      </c>
      <c r="M739" s="2" t="str">
        <f>HYPERLINK("https://docs.wto.org/imrd/directdoc.asp?DDFDocuments/v/G/SPS/NCHN950.DOC")</f>
        <v>https://docs.wto.org/imrd/directdoc.asp?DDFDocuments/v/G/SPS/NCHN950.DOC</v>
      </c>
      <c r="N739" s="2" t="str">
        <f>HYPERLINK("http://www.epingalert.org/#/details/G/SPS/N/CHN/950")</f>
        <v>http://www.epingalert.org/#/details/G/SPS/N/CHN/950</v>
      </c>
      <c r="O739" s="2"/>
    </row>
    <row r="740" spans="1:15" ht="240" customHeight="1" outlineLevel="1" x14ac:dyDescent="0.25">
      <c r="A740" s="2" t="s">
        <v>380</v>
      </c>
      <c r="B740" s="2" t="s">
        <v>3802</v>
      </c>
      <c r="C740" s="2" t="s">
        <v>3803</v>
      </c>
      <c r="D740" s="2" t="s">
        <v>3804</v>
      </c>
      <c r="E740" s="3">
        <v>42251</v>
      </c>
      <c r="F740" s="2" t="s">
        <v>3805</v>
      </c>
      <c r="G740" s="2"/>
      <c r="H740" s="2" t="s">
        <v>2425</v>
      </c>
      <c r="I740" s="2" t="s">
        <v>2426</v>
      </c>
      <c r="J740" s="3">
        <v>42311</v>
      </c>
      <c r="K740" s="2" t="str">
        <f>HYPERLINK("https://docs.wto.org/imrd/directdoc.asp?DDFDocuments/t/G/SPS/NCHN949.DOC")</f>
        <v>https://docs.wto.org/imrd/directdoc.asp?DDFDocuments/t/G/SPS/NCHN949.DOC</v>
      </c>
      <c r="L740" s="2" t="str">
        <f>HYPERLINK("https://docs.wto.org/imrd/directdoc.asp?DDFDocuments/u/G/SPS/NCHN949.DOC")</f>
        <v>https://docs.wto.org/imrd/directdoc.asp?DDFDocuments/u/G/SPS/NCHN949.DOC</v>
      </c>
      <c r="M740" s="2" t="str">
        <f>HYPERLINK("https://docs.wto.org/imrd/directdoc.asp?DDFDocuments/v/G/SPS/NCHN949.DOC")</f>
        <v>https://docs.wto.org/imrd/directdoc.asp?DDFDocuments/v/G/SPS/NCHN949.DOC</v>
      </c>
      <c r="N740" s="2" t="str">
        <f>HYPERLINK("http://www.epingalert.org/#/details/G/SPS/N/CHN/949")</f>
        <v>http://www.epingalert.org/#/details/G/SPS/N/CHN/949</v>
      </c>
      <c r="O740" s="2"/>
    </row>
    <row r="741" spans="1:15" ht="240" customHeight="1" outlineLevel="1" x14ac:dyDescent="0.25">
      <c r="A741" s="2" t="s">
        <v>380</v>
      </c>
      <c r="B741" s="2" t="s">
        <v>3806</v>
      </c>
      <c r="C741" s="2" t="s">
        <v>3807</v>
      </c>
      <c r="D741" s="2" t="s">
        <v>3808</v>
      </c>
      <c r="E741" s="3">
        <v>42251</v>
      </c>
      <c r="F741" s="2" t="s">
        <v>3809</v>
      </c>
      <c r="G741" s="2"/>
      <c r="H741" s="2" t="s">
        <v>2425</v>
      </c>
      <c r="I741" s="2" t="s">
        <v>2426</v>
      </c>
      <c r="J741" s="3">
        <v>42311</v>
      </c>
      <c r="K741" s="2" t="str">
        <f>HYPERLINK("https://docs.wto.org/imrd/directdoc.asp?DDFDocuments/t/G/SPS/NCHN948.DOC")</f>
        <v>https://docs.wto.org/imrd/directdoc.asp?DDFDocuments/t/G/SPS/NCHN948.DOC</v>
      </c>
      <c r="L741" s="2" t="str">
        <f>HYPERLINK("https://docs.wto.org/imrd/directdoc.asp?DDFDocuments/u/G/SPS/NCHN948.DOC")</f>
        <v>https://docs.wto.org/imrd/directdoc.asp?DDFDocuments/u/G/SPS/NCHN948.DOC</v>
      </c>
      <c r="M741" s="2" t="str">
        <f>HYPERLINK("https://docs.wto.org/imrd/directdoc.asp?DDFDocuments/v/G/SPS/NCHN948.DOC")</f>
        <v>https://docs.wto.org/imrd/directdoc.asp?DDFDocuments/v/G/SPS/NCHN948.DOC</v>
      </c>
      <c r="N741" s="2" t="str">
        <f>HYPERLINK("http://www.epingalert.org/#/details/G/SPS/N/CHN/948")</f>
        <v>http://www.epingalert.org/#/details/G/SPS/N/CHN/948</v>
      </c>
      <c r="O741" s="2"/>
    </row>
    <row r="742" spans="1:15" ht="240" customHeight="1" outlineLevel="1" x14ac:dyDescent="0.25">
      <c r="A742" s="2" t="s">
        <v>380</v>
      </c>
      <c r="B742" s="2" t="s">
        <v>3810</v>
      </c>
      <c r="C742" s="2" t="s">
        <v>3811</v>
      </c>
      <c r="D742" s="2" t="s">
        <v>3812</v>
      </c>
      <c r="E742" s="3">
        <v>42251</v>
      </c>
      <c r="F742" s="2" t="s">
        <v>3813</v>
      </c>
      <c r="G742" s="2"/>
      <c r="H742" s="2" t="s">
        <v>2425</v>
      </c>
      <c r="I742" s="2" t="s">
        <v>2426</v>
      </c>
      <c r="J742" s="3">
        <v>42311</v>
      </c>
      <c r="K742" s="2" t="str">
        <f>HYPERLINK("https://docs.wto.org/imrd/directdoc.asp?DDFDocuments/t/G/SPS/NCHN947.DOC")</f>
        <v>https://docs.wto.org/imrd/directdoc.asp?DDFDocuments/t/G/SPS/NCHN947.DOC</v>
      </c>
      <c r="L742" s="2" t="str">
        <f>HYPERLINK("https://docs.wto.org/imrd/directdoc.asp?DDFDocuments/u/G/SPS/NCHN947.DOC")</f>
        <v>https://docs.wto.org/imrd/directdoc.asp?DDFDocuments/u/G/SPS/NCHN947.DOC</v>
      </c>
      <c r="M742" s="2" t="str">
        <f>HYPERLINK("https://docs.wto.org/imrd/directdoc.asp?DDFDocuments/v/G/SPS/NCHN947.DOC")</f>
        <v>https://docs.wto.org/imrd/directdoc.asp?DDFDocuments/v/G/SPS/NCHN947.DOC</v>
      </c>
      <c r="N742" s="2" t="str">
        <f>HYPERLINK("http://www.epingalert.org/#/details/G/SPS/N/CHN/947")</f>
        <v>http://www.epingalert.org/#/details/G/SPS/N/CHN/947</v>
      </c>
      <c r="O742" s="2"/>
    </row>
    <row r="743" spans="1:15" ht="240" customHeight="1" outlineLevel="1" x14ac:dyDescent="0.25">
      <c r="A743" s="2" t="s">
        <v>380</v>
      </c>
      <c r="B743" s="2" t="s">
        <v>3814</v>
      </c>
      <c r="C743" s="2" t="s">
        <v>3815</v>
      </c>
      <c r="D743" s="2" t="s">
        <v>3816</v>
      </c>
      <c r="E743" s="3">
        <v>42251</v>
      </c>
      <c r="F743" s="2" t="s">
        <v>3817</v>
      </c>
      <c r="G743" s="2"/>
      <c r="H743" s="2" t="s">
        <v>2425</v>
      </c>
      <c r="I743" s="2" t="s">
        <v>2426</v>
      </c>
      <c r="J743" s="3">
        <v>42311</v>
      </c>
      <c r="K743" s="2" t="str">
        <f>HYPERLINK("https://docs.wto.org/imrd/directdoc.asp?DDFDocuments/t/G/SPS/NCHN946.DOC")</f>
        <v>https://docs.wto.org/imrd/directdoc.asp?DDFDocuments/t/G/SPS/NCHN946.DOC</v>
      </c>
      <c r="L743" s="2" t="str">
        <f>HYPERLINK("https://docs.wto.org/imrd/directdoc.asp?DDFDocuments/u/G/SPS/NCHN946.DOC")</f>
        <v>https://docs.wto.org/imrd/directdoc.asp?DDFDocuments/u/G/SPS/NCHN946.DOC</v>
      </c>
      <c r="M743" s="2" t="str">
        <f>HYPERLINK("https://docs.wto.org/imrd/directdoc.asp?DDFDocuments/v/G/SPS/NCHN946.DOC")</f>
        <v>https://docs.wto.org/imrd/directdoc.asp?DDFDocuments/v/G/SPS/NCHN946.DOC</v>
      </c>
      <c r="N743" s="2" t="str">
        <f>HYPERLINK("http://www.epingalert.org/#/details/G/SPS/N/CHN/946")</f>
        <v>http://www.epingalert.org/#/details/G/SPS/N/CHN/946</v>
      </c>
      <c r="O743" s="2"/>
    </row>
    <row r="744" spans="1:15" ht="240" customHeight="1" outlineLevel="1" x14ac:dyDescent="0.25">
      <c r="A744" s="2" t="s">
        <v>380</v>
      </c>
      <c r="B744" s="2" t="s">
        <v>3818</v>
      </c>
      <c r="C744" s="2" t="s">
        <v>3819</v>
      </c>
      <c r="D744" s="2" t="s">
        <v>3820</v>
      </c>
      <c r="E744" s="3">
        <v>42251</v>
      </c>
      <c r="F744" s="2" t="s">
        <v>3821</v>
      </c>
      <c r="G744" s="2"/>
      <c r="H744" s="2" t="s">
        <v>2425</v>
      </c>
      <c r="I744" s="2" t="s">
        <v>2426</v>
      </c>
      <c r="J744" s="3">
        <v>42311</v>
      </c>
      <c r="K744" s="2" t="str">
        <f>HYPERLINK("https://docs.wto.org/imrd/directdoc.asp?DDFDocuments/t/G/SPS/NCHN945.DOC")</f>
        <v>https://docs.wto.org/imrd/directdoc.asp?DDFDocuments/t/G/SPS/NCHN945.DOC</v>
      </c>
      <c r="L744" s="2" t="str">
        <f>HYPERLINK("https://docs.wto.org/imrd/directdoc.asp?DDFDocuments/u/G/SPS/NCHN945.DOC")</f>
        <v>https://docs.wto.org/imrd/directdoc.asp?DDFDocuments/u/G/SPS/NCHN945.DOC</v>
      </c>
      <c r="M744" s="2" t="str">
        <f>HYPERLINK("https://docs.wto.org/imrd/directdoc.asp?DDFDocuments/v/G/SPS/NCHN945.DOC")</f>
        <v>https://docs.wto.org/imrd/directdoc.asp?DDFDocuments/v/G/SPS/NCHN945.DOC</v>
      </c>
      <c r="N744" s="2" t="str">
        <f>HYPERLINK("http://www.epingalert.org/#/details/G/SPS/N/CHN/945")</f>
        <v>http://www.epingalert.org/#/details/G/SPS/N/CHN/945</v>
      </c>
      <c r="O744" s="2"/>
    </row>
    <row r="745" spans="1:15" ht="240" customHeight="1" outlineLevel="1" x14ac:dyDescent="0.25">
      <c r="A745" s="2" t="s">
        <v>380</v>
      </c>
      <c r="B745" s="2" t="s">
        <v>3822</v>
      </c>
      <c r="C745" s="2" t="s">
        <v>3823</v>
      </c>
      <c r="D745" s="2" t="s">
        <v>3824</v>
      </c>
      <c r="E745" s="3">
        <v>42251</v>
      </c>
      <c r="F745" s="2" t="s">
        <v>3825</v>
      </c>
      <c r="G745" s="2"/>
      <c r="H745" s="2" t="s">
        <v>2425</v>
      </c>
      <c r="I745" s="2" t="s">
        <v>2426</v>
      </c>
      <c r="J745" s="3">
        <v>42311</v>
      </c>
      <c r="K745" s="2" t="str">
        <f>HYPERLINK("https://docs.wto.org/imrd/directdoc.asp?DDFDocuments/t/G/SPS/NCHN944.DOC")</f>
        <v>https://docs.wto.org/imrd/directdoc.asp?DDFDocuments/t/G/SPS/NCHN944.DOC</v>
      </c>
      <c r="L745" s="2" t="str">
        <f>HYPERLINK("https://docs.wto.org/imrd/directdoc.asp?DDFDocuments/u/G/SPS/NCHN944.DOC")</f>
        <v>https://docs.wto.org/imrd/directdoc.asp?DDFDocuments/u/G/SPS/NCHN944.DOC</v>
      </c>
      <c r="M745" s="2" t="str">
        <f>HYPERLINK("https://docs.wto.org/imrd/directdoc.asp?DDFDocuments/v/G/SPS/NCHN944.DOC")</f>
        <v>https://docs.wto.org/imrd/directdoc.asp?DDFDocuments/v/G/SPS/NCHN944.DOC</v>
      </c>
      <c r="N745" s="2" t="str">
        <f>HYPERLINK("http://www.epingalert.org/#/details/G/SPS/N/CHN/944")</f>
        <v>http://www.epingalert.org/#/details/G/SPS/N/CHN/944</v>
      </c>
      <c r="O745" s="2"/>
    </row>
    <row r="746" spans="1:15" ht="240" customHeight="1" outlineLevel="1" x14ac:dyDescent="0.25">
      <c r="A746" s="2" t="s">
        <v>380</v>
      </c>
      <c r="B746" s="2" t="s">
        <v>3826</v>
      </c>
      <c r="C746" s="2" t="s">
        <v>3827</v>
      </c>
      <c r="D746" s="2" t="s">
        <v>3828</v>
      </c>
      <c r="E746" s="3">
        <v>42251</v>
      </c>
      <c r="F746" s="2" t="s">
        <v>3829</v>
      </c>
      <c r="G746" s="2"/>
      <c r="H746" s="2" t="s">
        <v>2425</v>
      </c>
      <c r="I746" s="2" t="s">
        <v>2426</v>
      </c>
      <c r="J746" s="3">
        <v>42311</v>
      </c>
      <c r="K746" s="2" t="str">
        <f>HYPERLINK("https://docs.wto.org/imrd/directdoc.asp?DDFDocuments/t/G/SPS/NCHN943.DOC")</f>
        <v>https://docs.wto.org/imrd/directdoc.asp?DDFDocuments/t/G/SPS/NCHN943.DOC</v>
      </c>
      <c r="L746" s="2" t="str">
        <f>HYPERLINK("https://docs.wto.org/imrd/directdoc.asp?DDFDocuments/u/G/SPS/NCHN943.DOC")</f>
        <v>https://docs.wto.org/imrd/directdoc.asp?DDFDocuments/u/G/SPS/NCHN943.DOC</v>
      </c>
      <c r="M746" s="2" t="str">
        <f>HYPERLINK("https://docs.wto.org/imrd/directdoc.asp?DDFDocuments/v/G/SPS/NCHN943.DOC")</f>
        <v>https://docs.wto.org/imrd/directdoc.asp?DDFDocuments/v/G/SPS/NCHN943.DOC</v>
      </c>
      <c r="N746" s="2" t="str">
        <f>HYPERLINK("http://www.epingalert.org/#/details/G/SPS/N/CHN/943")</f>
        <v>http://www.epingalert.org/#/details/G/SPS/N/CHN/943</v>
      </c>
      <c r="O746" s="2"/>
    </row>
    <row r="747" spans="1:15" ht="240" customHeight="1" outlineLevel="1" x14ac:dyDescent="0.25">
      <c r="A747" s="2" t="s">
        <v>380</v>
      </c>
      <c r="B747" s="2" t="s">
        <v>3830</v>
      </c>
      <c r="C747" s="2" t="s">
        <v>3831</v>
      </c>
      <c r="D747" s="2" t="s">
        <v>3832</v>
      </c>
      <c r="E747" s="3">
        <v>42251</v>
      </c>
      <c r="F747" s="2" t="s">
        <v>3833</v>
      </c>
      <c r="G747" s="2"/>
      <c r="H747" s="2" t="s">
        <v>2425</v>
      </c>
      <c r="I747" s="2" t="s">
        <v>2426</v>
      </c>
      <c r="J747" s="3">
        <v>42311</v>
      </c>
      <c r="K747" s="2" t="str">
        <f>HYPERLINK("https://docs.wto.org/imrd/directdoc.asp?DDFDocuments/t/G/SPS/NCHN942.DOC")</f>
        <v>https://docs.wto.org/imrd/directdoc.asp?DDFDocuments/t/G/SPS/NCHN942.DOC</v>
      </c>
      <c r="L747" s="2" t="str">
        <f>HYPERLINK("https://docs.wto.org/imrd/directdoc.asp?DDFDocuments/u/G/SPS/NCHN942.DOC")</f>
        <v>https://docs.wto.org/imrd/directdoc.asp?DDFDocuments/u/G/SPS/NCHN942.DOC</v>
      </c>
      <c r="M747" s="2" t="str">
        <f>HYPERLINK("https://docs.wto.org/imrd/directdoc.asp?DDFDocuments/v/G/SPS/NCHN942.DOC")</f>
        <v>https://docs.wto.org/imrd/directdoc.asp?DDFDocuments/v/G/SPS/NCHN942.DOC</v>
      </c>
      <c r="N747" s="2" t="str">
        <f>HYPERLINK("http://www.epingalert.org/#/details/G/SPS/N/CHN/942")</f>
        <v>http://www.epingalert.org/#/details/G/SPS/N/CHN/942</v>
      </c>
      <c r="O747" s="2"/>
    </row>
    <row r="748" spans="1:15" ht="240" customHeight="1" outlineLevel="1" x14ac:dyDescent="0.25">
      <c r="A748" s="2" t="s">
        <v>380</v>
      </c>
      <c r="B748" s="2" t="s">
        <v>3834</v>
      </c>
      <c r="C748" s="2" t="s">
        <v>3835</v>
      </c>
      <c r="D748" s="2" t="s">
        <v>3836</v>
      </c>
      <c r="E748" s="3">
        <v>42251</v>
      </c>
      <c r="F748" s="2" t="s">
        <v>3837</v>
      </c>
      <c r="G748" s="2"/>
      <c r="H748" s="2" t="s">
        <v>2425</v>
      </c>
      <c r="I748" s="2" t="s">
        <v>2426</v>
      </c>
      <c r="J748" s="3">
        <v>42311</v>
      </c>
      <c r="K748" s="2" t="str">
        <f>HYPERLINK("https://docs.wto.org/imrd/directdoc.asp?DDFDocuments/t/G/SPS/NCHN941.DOC")</f>
        <v>https://docs.wto.org/imrd/directdoc.asp?DDFDocuments/t/G/SPS/NCHN941.DOC</v>
      </c>
      <c r="L748" s="2" t="str">
        <f>HYPERLINK("https://docs.wto.org/imrd/directdoc.asp?DDFDocuments/u/G/SPS/NCHN941.DOC")</f>
        <v>https://docs.wto.org/imrd/directdoc.asp?DDFDocuments/u/G/SPS/NCHN941.DOC</v>
      </c>
      <c r="M748" s="2" t="str">
        <f>HYPERLINK("https://docs.wto.org/imrd/directdoc.asp?DDFDocuments/v/G/SPS/NCHN941.DOC")</f>
        <v>https://docs.wto.org/imrd/directdoc.asp?DDFDocuments/v/G/SPS/NCHN941.DOC</v>
      </c>
      <c r="N748" s="2" t="str">
        <f>HYPERLINK("http://www.epingalert.org/#/details/G/SPS/N/CHN/941")</f>
        <v>http://www.epingalert.org/#/details/G/SPS/N/CHN/941</v>
      </c>
      <c r="O748" s="2"/>
    </row>
    <row r="749" spans="1:15" ht="240" customHeight="1" outlineLevel="1" x14ac:dyDescent="0.25">
      <c r="A749" s="2" t="s">
        <v>380</v>
      </c>
      <c r="B749" s="2" t="s">
        <v>3838</v>
      </c>
      <c r="C749" s="2" t="s">
        <v>3839</v>
      </c>
      <c r="D749" s="2" t="s">
        <v>3840</v>
      </c>
      <c r="E749" s="3">
        <v>42251</v>
      </c>
      <c r="F749" s="2" t="s">
        <v>3841</v>
      </c>
      <c r="G749" s="2"/>
      <c r="H749" s="2" t="s">
        <v>2425</v>
      </c>
      <c r="I749" s="2" t="s">
        <v>2426</v>
      </c>
      <c r="J749" s="3">
        <v>42311</v>
      </c>
      <c r="K749" s="2" t="str">
        <f>HYPERLINK("https://docs.wto.org/imrd/directdoc.asp?DDFDocuments/t/G/SPS/NCHN940.DOC")</f>
        <v>https://docs.wto.org/imrd/directdoc.asp?DDFDocuments/t/G/SPS/NCHN940.DOC</v>
      </c>
      <c r="L749" s="2" t="str">
        <f>HYPERLINK("https://docs.wto.org/imrd/directdoc.asp?DDFDocuments/u/G/SPS/NCHN940.DOC")</f>
        <v>https://docs.wto.org/imrd/directdoc.asp?DDFDocuments/u/G/SPS/NCHN940.DOC</v>
      </c>
      <c r="M749" s="2" t="str">
        <f>HYPERLINK("https://docs.wto.org/imrd/directdoc.asp?DDFDocuments/v/G/SPS/NCHN940.DOC")</f>
        <v>https://docs.wto.org/imrd/directdoc.asp?DDFDocuments/v/G/SPS/NCHN940.DOC</v>
      </c>
      <c r="N749" s="2" t="str">
        <f>HYPERLINK("http://www.epingalert.org/#/details/G/SPS/N/CHN/940")</f>
        <v>http://www.epingalert.org/#/details/G/SPS/N/CHN/940</v>
      </c>
      <c r="O749" s="2"/>
    </row>
    <row r="750" spans="1:15" ht="240" customHeight="1" outlineLevel="1" x14ac:dyDescent="0.25">
      <c r="A750" s="2" t="s">
        <v>380</v>
      </c>
      <c r="B750" s="2" t="s">
        <v>3842</v>
      </c>
      <c r="C750" s="2" t="s">
        <v>3843</v>
      </c>
      <c r="D750" s="2" t="s">
        <v>3844</v>
      </c>
      <c r="E750" s="3">
        <v>42251</v>
      </c>
      <c r="F750" s="2" t="s">
        <v>3845</v>
      </c>
      <c r="G750" s="2"/>
      <c r="H750" s="2" t="s">
        <v>2425</v>
      </c>
      <c r="I750" s="2" t="s">
        <v>2426</v>
      </c>
      <c r="J750" s="3">
        <v>42311</v>
      </c>
      <c r="K750" s="2" t="str">
        <f>HYPERLINK("https://docs.wto.org/imrd/directdoc.asp?DDFDocuments/t/G/SPS/NCHN939.DOC")</f>
        <v>https://docs.wto.org/imrd/directdoc.asp?DDFDocuments/t/G/SPS/NCHN939.DOC</v>
      </c>
      <c r="L750" s="2" t="str">
        <f>HYPERLINK("https://docs.wto.org/imrd/directdoc.asp?DDFDocuments/u/G/SPS/NCHN939.DOC")</f>
        <v>https://docs.wto.org/imrd/directdoc.asp?DDFDocuments/u/G/SPS/NCHN939.DOC</v>
      </c>
      <c r="M750" s="2" t="str">
        <f>HYPERLINK("https://docs.wto.org/imrd/directdoc.asp?DDFDocuments/v/G/SPS/NCHN939.DOC")</f>
        <v>https://docs.wto.org/imrd/directdoc.asp?DDFDocuments/v/G/SPS/NCHN939.DOC</v>
      </c>
      <c r="N750" s="2" t="str">
        <f>HYPERLINK("http://www.epingalert.org/#/details/G/SPS/N/CHN/939")</f>
        <v>http://www.epingalert.org/#/details/G/SPS/N/CHN/939</v>
      </c>
      <c r="O750" s="2"/>
    </row>
    <row r="751" spans="1:15" ht="240" customHeight="1" outlineLevel="1" x14ac:dyDescent="0.25">
      <c r="A751" s="2" t="s">
        <v>380</v>
      </c>
      <c r="B751" s="2" t="s">
        <v>6632</v>
      </c>
      <c r="C751" s="2" t="s">
        <v>6633</v>
      </c>
      <c r="D751" s="2" t="s">
        <v>6634</v>
      </c>
      <c r="E751" s="3">
        <v>42251</v>
      </c>
      <c r="F751" s="2" t="s">
        <v>6617</v>
      </c>
      <c r="G751" s="2" t="s">
        <v>1646</v>
      </c>
      <c r="H751" s="2" t="s">
        <v>2425</v>
      </c>
      <c r="I751" s="2" t="s">
        <v>6503</v>
      </c>
      <c r="J751" s="3">
        <v>42311</v>
      </c>
      <c r="K751" s="2" t="str">
        <f>HYPERLINK("https://docs.wto.org/imrd/directdoc.asp?DDFDocuments/t/G/SPS/NCHN1002.DOC")</f>
        <v>https://docs.wto.org/imrd/directdoc.asp?DDFDocuments/t/G/SPS/NCHN1002.DOC</v>
      </c>
      <c r="L751" s="2" t="str">
        <f>HYPERLINK("https://docs.wto.org/imrd/directdoc.asp?DDFDocuments/u/G/SPS/NCHN1002.DOC")</f>
        <v>https://docs.wto.org/imrd/directdoc.asp?DDFDocuments/u/G/SPS/NCHN1002.DOC</v>
      </c>
      <c r="M751" s="2" t="str">
        <f>HYPERLINK("https://docs.wto.org/imrd/directdoc.asp?DDFDocuments/v/G/SPS/NCHN1002.DOC")</f>
        <v>https://docs.wto.org/imrd/directdoc.asp?DDFDocuments/v/G/SPS/NCHN1002.DOC</v>
      </c>
      <c r="N751" s="2" t="str">
        <f>HYPERLINK("http://www.epingalert.org/#/details/G/SPS/N/CHN/1002")</f>
        <v>http://www.epingalert.org/#/details/G/SPS/N/CHN/1002</v>
      </c>
      <c r="O751" s="2"/>
    </row>
    <row r="752" spans="1:15" ht="240" customHeight="1" outlineLevel="1" x14ac:dyDescent="0.25">
      <c r="A752" s="2" t="s">
        <v>380</v>
      </c>
      <c r="B752" s="2" t="s">
        <v>6635</v>
      </c>
      <c r="C752" s="2" t="s">
        <v>6636</v>
      </c>
      <c r="D752" s="2" t="s">
        <v>6637</v>
      </c>
      <c r="E752" s="3">
        <v>42251</v>
      </c>
      <c r="F752" s="2" t="s">
        <v>6638</v>
      </c>
      <c r="G752" s="2" t="s">
        <v>1646</v>
      </c>
      <c r="H752" s="2" t="s">
        <v>2573</v>
      </c>
      <c r="I752" s="2" t="s">
        <v>6503</v>
      </c>
      <c r="J752" s="3">
        <v>42311</v>
      </c>
      <c r="K752" s="2" t="str">
        <f>HYPERLINK("https://docs.wto.org/imrd/directdoc.asp?DDFDocuments/t/G/SPS/NCHN990.DOC")</f>
        <v>https://docs.wto.org/imrd/directdoc.asp?DDFDocuments/t/G/SPS/NCHN990.DOC</v>
      </c>
      <c r="L752" s="2" t="str">
        <f>HYPERLINK("https://docs.wto.org/imrd/directdoc.asp?DDFDocuments/u/G/SPS/NCHN990.DOC")</f>
        <v>https://docs.wto.org/imrd/directdoc.asp?DDFDocuments/u/G/SPS/NCHN990.DOC</v>
      </c>
      <c r="M752" s="2" t="str">
        <f>HYPERLINK("https://docs.wto.org/imrd/directdoc.asp?DDFDocuments/v/G/SPS/NCHN990.DOC")</f>
        <v>https://docs.wto.org/imrd/directdoc.asp?DDFDocuments/v/G/SPS/NCHN990.DOC</v>
      </c>
      <c r="N752" s="2" t="str">
        <f>HYPERLINK("http://www.epingalert.org/#/details/G/SPS/N/CHN/990")</f>
        <v>http://www.epingalert.org/#/details/G/SPS/N/CHN/990</v>
      </c>
      <c r="O752" s="2"/>
    </row>
    <row r="753" spans="1:15" ht="240" customHeight="1" outlineLevel="1" x14ac:dyDescent="0.25">
      <c r="A753" s="2" t="s">
        <v>380</v>
      </c>
      <c r="B753" s="2" t="s">
        <v>7479</v>
      </c>
      <c r="C753" s="2" t="s">
        <v>7480</v>
      </c>
      <c r="D753" s="2" t="s">
        <v>7481</v>
      </c>
      <c r="E753" s="3">
        <v>42251</v>
      </c>
      <c r="F753" s="2" t="s">
        <v>7482</v>
      </c>
      <c r="G753" s="2" t="s">
        <v>2391</v>
      </c>
      <c r="H753" s="2" t="s">
        <v>2425</v>
      </c>
      <c r="I753" s="2" t="s">
        <v>2461</v>
      </c>
      <c r="J753" s="3">
        <v>42311</v>
      </c>
      <c r="K753" s="2" t="str">
        <f>HYPERLINK("https://docs.wto.org/imrd/directdoc.asp?DDFDocuments/t/G/SPS/NCHN1004.DOC")</f>
        <v>https://docs.wto.org/imrd/directdoc.asp?DDFDocuments/t/G/SPS/NCHN1004.DOC</v>
      </c>
      <c r="L753" s="2" t="str">
        <f>HYPERLINK("https://docs.wto.org/imrd/directdoc.asp?DDFDocuments/u/G/SPS/NCHN1004.DOC")</f>
        <v>https://docs.wto.org/imrd/directdoc.asp?DDFDocuments/u/G/SPS/NCHN1004.DOC</v>
      </c>
      <c r="M753" s="2" t="str">
        <f>HYPERLINK("https://docs.wto.org/imrd/directdoc.asp?DDFDocuments/v/G/SPS/NCHN1004.DOC")</f>
        <v>https://docs.wto.org/imrd/directdoc.asp?DDFDocuments/v/G/SPS/NCHN1004.DOC</v>
      </c>
      <c r="N753" s="2" t="str">
        <f>HYPERLINK("http://www.epingalert.org/#/details/G/SPS/N/CHN/1004")</f>
        <v>http://www.epingalert.org/#/details/G/SPS/N/CHN/1004</v>
      </c>
      <c r="O753" s="2"/>
    </row>
    <row r="754" spans="1:15" ht="240" customHeight="1" outlineLevel="1" x14ac:dyDescent="0.25">
      <c r="A754" s="2" t="s">
        <v>380</v>
      </c>
      <c r="B754" s="2" t="s">
        <v>7483</v>
      </c>
      <c r="C754" s="2" t="s">
        <v>7484</v>
      </c>
      <c r="D754" s="2" t="s">
        <v>7485</v>
      </c>
      <c r="E754" s="3">
        <v>42251</v>
      </c>
      <c r="F754" s="2" t="s">
        <v>7486</v>
      </c>
      <c r="G754" s="2" t="s">
        <v>7487</v>
      </c>
      <c r="H754" s="2" t="s">
        <v>2425</v>
      </c>
      <c r="I754" s="2" t="s">
        <v>2426</v>
      </c>
      <c r="J754" s="3">
        <v>42311</v>
      </c>
      <c r="K754" s="2" t="str">
        <f>HYPERLINK("https://docs.wto.org/imrd/directdoc.asp?DDFDocuments/t/G/SPS/NCHN1000.DOC")</f>
        <v>https://docs.wto.org/imrd/directdoc.asp?DDFDocuments/t/G/SPS/NCHN1000.DOC</v>
      </c>
      <c r="L754" s="2" t="str">
        <f>HYPERLINK("https://docs.wto.org/imrd/directdoc.asp?DDFDocuments/u/G/SPS/NCHN1000.DOC")</f>
        <v>https://docs.wto.org/imrd/directdoc.asp?DDFDocuments/u/G/SPS/NCHN1000.DOC</v>
      </c>
      <c r="M754" s="2" t="str">
        <f>HYPERLINK("https://docs.wto.org/imrd/directdoc.asp?DDFDocuments/v/G/SPS/NCHN1000.DOC")</f>
        <v>https://docs.wto.org/imrd/directdoc.asp?DDFDocuments/v/G/SPS/NCHN1000.DOC</v>
      </c>
      <c r="N754" s="2" t="str">
        <f>HYPERLINK("http://www.epingalert.org/#/details/G/SPS/N/CHN/1000")</f>
        <v>http://www.epingalert.org/#/details/G/SPS/N/CHN/1000</v>
      </c>
      <c r="O754" s="2"/>
    </row>
    <row r="755" spans="1:15" ht="240" customHeight="1" outlineLevel="1" x14ac:dyDescent="0.25">
      <c r="A755" s="2" t="s">
        <v>380</v>
      </c>
      <c r="B755" s="2" t="s">
        <v>7488</v>
      </c>
      <c r="C755" s="2" t="s">
        <v>7489</v>
      </c>
      <c r="D755" s="2" t="s">
        <v>7490</v>
      </c>
      <c r="E755" s="3">
        <v>42251</v>
      </c>
      <c r="F755" s="2" t="s">
        <v>7491</v>
      </c>
      <c r="G755" s="2" t="s">
        <v>2292</v>
      </c>
      <c r="H755" s="2" t="s">
        <v>2425</v>
      </c>
      <c r="I755" s="2" t="s">
        <v>2461</v>
      </c>
      <c r="J755" s="3">
        <v>42311</v>
      </c>
      <c r="K755" s="2" t="str">
        <f>HYPERLINK("https://docs.wto.org/imrd/directdoc.asp?DDFDocuments/t/G/SPS/NCHN998.DOC")</f>
        <v>https://docs.wto.org/imrd/directdoc.asp?DDFDocuments/t/G/SPS/NCHN998.DOC</v>
      </c>
      <c r="L755" s="2" t="str">
        <f>HYPERLINK("https://docs.wto.org/imrd/directdoc.asp?DDFDocuments/u/G/SPS/NCHN998.DOC")</f>
        <v>https://docs.wto.org/imrd/directdoc.asp?DDFDocuments/u/G/SPS/NCHN998.DOC</v>
      </c>
      <c r="M755" s="2" t="str">
        <f>HYPERLINK("https://docs.wto.org/imrd/directdoc.asp?DDFDocuments/v/G/SPS/NCHN998.DOC")</f>
        <v>https://docs.wto.org/imrd/directdoc.asp?DDFDocuments/v/G/SPS/NCHN998.DOC</v>
      </c>
      <c r="N755" s="2" t="str">
        <f>HYPERLINK("http://www.epingalert.org/#/details/G/SPS/N/CHN/998")</f>
        <v>http://www.epingalert.org/#/details/G/SPS/N/CHN/998</v>
      </c>
      <c r="O755" s="2"/>
    </row>
    <row r="756" spans="1:15" ht="240" customHeight="1" outlineLevel="1" x14ac:dyDescent="0.25">
      <c r="A756" s="2" t="s">
        <v>380</v>
      </c>
      <c r="B756" s="2" t="s">
        <v>7492</v>
      </c>
      <c r="C756" s="2" t="s">
        <v>7493</v>
      </c>
      <c r="D756" s="2" t="s">
        <v>7494</v>
      </c>
      <c r="E756" s="3">
        <v>42251</v>
      </c>
      <c r="F756" s="2" t="s">
        <v>7495</v>
      </c>
      <c r="G756" s="2" t="s">
        <v>7496</v>
      </c>
      <c r="H756" s="2" t="s">
        <v>2425</v>
      </c>
      <c r="I756" s="2" t="s">
        <v>2461</v>
      </c>
      <c r="J756" s="3">
        <v>42311</v>
      </c>
      <c r="K756" s="2" t="str">
        <f>HYPERLINK("https://docs.wto.org/imrd/directdoc.asp?DDFDocuments/t/G/SPS/NCHN996.DOC")</f>
        <v>https://docs.wto.org/imrd/directdoc.asp?DDFDocuments/t/G/SPS/NCHN996.DOC</v>
      </c>
      <c r="L756" s="2" t="str">
        <f>HYPERLINK("https://docs.wto.org/imrd/directdoc.asp?DDFDocuments/u/G/SPS/NCHN996.DOC")</f>
        <v>https://docs.wto.org/imrd/directdoc.asp?DDFDocuments/u/G/SPS/NCHN996.DOC</v>
      </c>
      <c r="M756" s="2" t="str">
        <f>HYPERLINK("https://docs.wto.org/imrd/directdoc.asp?DDFDocuments/v/G/SPS/NCHN996.DOC")</f>
        <v>https://docs.wto.org/imrd/directdoc.asp?DDFDocuments/v/G/SPS/NCHN996.DOC</v>
      </c>
      <c r="N756" s="2" t="str">
        <f>HYPERLINK("http://www.epingalert.org/#/details/G/SPS/N/CHN/996")</f>
        <v>http://www.epingalert.org/#/details/G/SPS/N/CHN/996</v>
      </c>
      <c r="O756" s="2"/>
    </row>
    <row r="757" spans="1:15" ht="240" customHeight="1" outlineLevel="1" x14ac:dyDescent="0.25">
      <c r="A757" s="2" t="s">
        <v>380</v>
      </c>
      <c r="B757" s="2" t="s">
        <v>7497</v>
      </c>
      <c r="C757" s="2" t="s">
        <v>7498</v>
      </c>
      <c r="D757" s="2" t="s">
        <v>7499</v>
      </c>
      <c r="E757" s="3">
        <v>42251</v>
      </c>
      <c r="F757" s="2" t="s">
        <v>7500</v>
      </c>
      <c r="G757" s="2" t="s">
        <v>7501</v>
      </c>
      <c r="H757" s="2" t="s">
        <v>2573</v>
      </c>
      <c r="I757" s="2" t="s">
        <v>2461</v>
      </c>
      <c r="J757" s="3">
        <v>42311</v>
      </c>
      <c r="K757" s="2" t="str">
        <f>HYPERLINK("https://docs.wto.org/imrd/directdoc.asp?DDFDocuments/t/G/SPS/NCHN992.DOC")</f>
        <v>https://docs.wto.org/imrd/directdoc.asp?DDFDocuments/t/G/SPS/NCHN992.DOC</v>
      </c>
      <c r="L757" s="2" t="str">
        <f>HYPERLINK("https://docs.wto.org/imrd/directdoc.asp?DDFDocuments/u/G/SPS/NCHN992.DOC")</f>
        <v>https://docs.wto.org/imrd/directdoc.asp?DDFDocuments/u/G/SPS/NCHN992.DOC</v>
      </c>
      <c r="M757" s="2" t="str">
        <f>HYPERLINK("https://docs.wto.org/imrd/directdoc.asp?DDFDocuments/v/G/SPS/NCHN992.DOC")</f>
        <v>https://docs.wto.org/imrd/directdoc.asp?DDFDocuments/v/G/SPS/NCHN992.DOC</v>
      </c>
      <c r="N757" s="2" t="str">
        <f>HYPERLINK("http://www.epingalert.org/#/details/G/SPS/N/CHN/992")</f>
        <v>http://www.epingalert.org/#/details/G/SPS/N/CHN/992</v>
      </c>
      <c r="O757" s="2"/>
    </row>
    <row r="758" spans="1:15" ht="240" customHeight="1" outlineLevel="1" x14ac:dyDescent="0.25">
      <c r="A758" s="2" t="s">
        <v>380</v>
      </c>
      <c r="B758" s="2" t="s">
        <v>3846</v>
      </c>
      <c r="C758" s="2" t="s">
        <v>3847</v>
      </c>
      <c r="D758" s="2" t="s">
        <v>3848</v>
      </c>
      <c r="E758" s="3">
        <v>42250</v>
      </c>
      <c r="F758" s="2" t="s">
        <v>3849</v>
      </c>
      <c r="G758" s="2"/>
      <c r="H758" s="2" t="s">
        <v>2425</v>
      </c>
      <c r="I758" s="2" t="s">
        <v>2426</v>
      </c>
      <c r="J758" s="3">
        <v>42310</v>
      </c>
      <c r="K758" s="2" t="str">
        <f>HYPERLINK("https://docs.wto.org/imrd/directdoc.asp?DDFDocuments/t/G/SPS/NCHN976.DOC")</f>
        <v>https://docs.wto.org/imrd/directdoc.asp?DDFDocuments/t/G/SPS/NCHN976.DOC</v>
      </c>
      <c r="L758" s="2" t="str">
        <f>HYPERLINK("https://docs.wto.org/imrd/directdoc.asp?DDFDocuments/u/G/SPS/NCHN976.DOC")</f>
        <v>https://docs.wto.org/imrd/directdoc.asp?DDFDocuments/u/G/SPS/NCHN976.DOC</v>
      </c>
      <c r="M758" s="2" t="str">
        <f>HYPERLINK("https://docs.wto.org/imrd/directdoc.asp?DDFDocuments/v/G/SPS/NCHN976.DOC")</f>
        <v>https://docs.wto.org/imrd/directdoc.asp?DDFDocuments/v/G/SPS/NCHN976.DOC</v>
      </c>
      <c r="N758" s="2" t="str">
        <f>HYPERLINK("http://www.epingalert.org/#/details/G/SPS/N/CHN/976")</f>
        <v>http://www.epingalert.org/#/details/G/SPS/N/CHN/976</v>
      </c>
      <c r="O758" s="2"/>
    </row>
    <row r="759" spans="1:15" ht="240" customHeight="1" outlineLevel="1" x14ac:dyDescent="0.25">
      <c r="A759" s="2" t="s">
        <v>380</v>
      </c>
      <c r="B759" s="2" t="s">
        <v>3850</v>
      </c>
      <c r="C759" s="2" t="s">
        <v>3851</v>
      </c>
      <c r="D759" s="2" t="s">
        <v>3852</v>
      </c>
      <c r="E759" s="3">
        <v>42250</v>
      </c>
      <c r="F759" s="2" t="s">
        <v>3853</v>
      </c>
      <c r="G759" s="2"/>
      <c r="H759" s="2" t="s">
        <v>2425</v>
      </c>
      <c r="I759" s="2" t="s">
        <v>2426</v>
      </c>
      <c r="J759" s="3">
        <v>42310</v>
      </c>
      <c r="K759" s="2" t="str">
        <f>HYPERLINK("https://docs.wto.org/imrd/directdoc.asp?DDFDocuments/t/G/SPS/NCHN975.DOC")</f>
        <v>https://docs.wto.org/imrd/directdoc.asp?DDFDocuments/t/G/SPS/NCHN975.DOC</v>
      </c>
      <c r="L759" s="2" t="str">
        <f>HYPERLINK("https://docs.wto.org/imrd/directdoc.asp?DDFDocuments/u/G/SPS/NCHN975.DOC")</f>
        <v>https://docs.wto.org/imrd/directdoc.asp?DDFDocuments/u/G/SPS/NCHN975.DOC</v>
      </c>
      <c r="M759" s="2" t="str">
        <f>HYPERLINK("https://docs.wto.org/imrd/directdoc.asp?DDFDocuments/v/G/SPS/NCHN975.DOC")</f>
        <v>https://docs.wto.org/imrd/directdoc.asp?DDFDocuments/v/G/SPS/NCHN975.DOC</v>
      </c>
      <c r="N759" s="2" t="str">
        <f>HYPERLINK("http://www.epingalert.org/#/details/G/SPS/N/CHN/975")</f>
        <v>http://www.epingalert.org/#/details/G/SPS/N/CHN/975</v>
      </c>
      <c r="O759" s="2"/>
    </row>
    <row r="760" spans="1:15" ht="240" customHeight="1" outlineLevel="1" x14ac:dyDescent="0.25">
      <c r="A760" s="2" t="s">
        <v>380</v>
      </c>
      <c r="B760" s="2" t="s">
        <v>3854</v>
      </c>
      <c r="C760" s="2" t="s">
        <v>3855</v>
      </c>
      <c r="D760" s="2" t="s">
        <v>3856</v>
      </c>
      <c r="E760" s="3">
        <v>42250</v>
      </c>
      <c r="F760" s="2" t="s">
        <v>3857</v>
      </c>
      <c r="G760" s="2"/>
      <c r="H760" s="2" t="s">
        <v>2425</v>
      </c>
      <c r="I760" s="2" t="s">
        <v>2426</v>
      </c>
      <c r="J760" s="3">
        <v>42310</v>
      </c>
      <c r="K760" s="2" t="str">
        <f>HYPERLINK("https://docs.wto.org/imrd/directdoc.asp?DDFDocuments/t/G/SPS/NCHN951.DOC")</f>
        <v>https://docs.wto.org/imrd/directdoc.asp?DDFDocuments/t/G/SPS/NCHN951.DOC</v>
      </c>
      <c r="L760" s="2" t="str">
        <f>HYPERLINK("https://docs.wto.org/imrd/directdoc.asp?DDFDocuments/u/G/SPS/NCHN951.DOC")</f>
        <v>https://docs.wto.org/imrd/directdoc.asp?DDFDocuments/u/G/SPS/NCHN951.DOC</v>
      </c>
      <c r="M760" s="2" t="str">
        <f>HYPERLINK("https://docs.wto.org/imrd/directdoc.asp?DDFDocuments/v/G/SPS/NCHN951.DOC")</f>
        <v>https://docs.wto.org/imrd/directdoc.asp?DDFDocuments/v/G/SPS/NCHN951.DOC</v>
      </c>
      <c r="N760" s="2" t="str">
        <f>HYPERLINK("http://www.epingalert.org/#/details/G/SPS/N/CHN/951")</f>
        <v>http://www.epingalert.org/#/details/G/SPS/N/CHN/951</v>
      </c>
      <c r="O760" s="2"/>
    </row>
    <row r="761" spans="1:15" ht="240" customHeight="1" outlineLevel="1" x14ac:dyDescent="0.25">
      <c r="A761" s="2" t="s">
        <v>380</v>
      </c>
      <c r="B761" s="2" t="s">
        <v>3858</v>
      </c>
      <c r="C761" s="2" t="s">
        <v>3859</v>
      </c>
      <c r="D761" s="2" t="s">
        <v>3860</v>
      </c>
      <c r="E761" s="3">
        <v>42250</v>
      </c>
      <c r="F761" s="2" t="s">
        <v>3861</v>
      </c>
      <c r="G761" s="2"/>
      <c r="H761" s="2" t="s">
        <v>2425</v>
      </c>
      <c r="I761" s="2" t="s">
        <v>2426</v>
      </c>
      <c r="J761" s="3">
        <v>42310</v>
      </c>
      <c r="K761" s="2" t="str">
        <f>HYPERLINK("https://docs.wto.org/imrd/directdoc.asp?DDFDocuments/t/G/SPS/NCHN938.DOC")</f>
        <v>https://docs.wto.org/imrd/directdoc.asp?DDFDocuments/t/G/SPS/NCHN938.DOC</v>
      </c>
      <c r="L761" s="2" t="str">
        <f>HYPERLINK("https://docs.wto.org/imrd/directdoc.asp?DDFDocuments/u/G/SPS/NCHN938.DOC")</f>
        <v>https://docs.wto.org/imrd/directdoc.asp?DDFDocuments/u/G/SPS/NCHN938.DOC</v>
      </c>
      <c r="M761" s="2" t="str">
        <f>HYPERLINK("https://docs.wto.org/imrd/directdoc.asp?DDFDocuments/v/G/SPS/NCHN938.DOC")</f>
        <v>https://docs.wto.org/imrd/directdoc.asp?DDFDocuments/v/G/SPS/NCHN938.DOC</v>
      </c>
      <c r="N761" s="2" t="str">
        <f>HYPERLINK("http://www.epingalert.org/#/details/G/SPS/N/CHN/938")</f>
        <v>http://www.epingalert.org/#/details/G/SPS/N/CHN/938</v>
      </c>
      <c r="O761" s="2"/>
    </row>
    <row r="762" spans="1:15" ht="240" customHeight="1" outlineLevel="1" x14ac:dyDescent="0.25">
      <c r="A762" s="2" t="s">
        <v>380</v>
      </c>
      <c r="B762" s="2" t="s">
        <v>3862</v>
      </c>
      <c r="C762" s="2" t="s">
        <v>3863</v>
      </c>
      <c r="D762" s="2" t="s">
        <v>3864</v>
      </c>
      <c r="E762" s="3">
        <v>42250</v>
      </c>
      <c r="F762" s="2" t="s">
        <v>3865</v>
      </c>
      <c r="G762" s="2"/>
      <c r="H762" s="2" t="s">
        <v>2425</v>
      </c>
      <c r="I762" s="2" t="s">
        <v>2426</v>
      </c>
      <c r="J762" s="3">
        <v>42310</v>
      </c>
      <c r="K762" s="2" t="str">
        <f>HYPERLINK("https://docs.wto.org/imrd/directdoc.asp?DDFDocuments/t/G/SPS/NCHN937.DOC")</f>
        <v>https://docs.wto.org/imrd/directdoc.asp?DDFDocuments/t/G/SPS/NCHN937.DOC</v>
      </c>
      <c r="L762" s="2" t="str">
        <f>HYPERLINK("https://docs.wto.org/imrd/directdoc.asp?DDFDocuments/u/G/SPS/NCHN937.DOC")</f>
        <v>https://docs.wto.org/imrd/directdoc.asp?DDFDocuments/u/G/SPS/NCHN937.DOC</v>
      </c>
      <c r="M762" s="2" t="str">
        <f>HYPERLINK("https://docs.wto.org/imrd/directdoc.asp?DDFDocuments/v/G/SPS/NCHN937.DOC")</f>
        <v>https://docs.wto.org/imrd/directdoc.asp?DDFDocuments/v/G/SPS/NCHN937.DOC</v>
      </c>
      <c r="N762" s="2" t="str">
        <f>HYPERLINK("http://www.epingalert.org/#/details/G/SPS/N/CHN/937")</f>
        <v>http://www.epingalert.org/#/details/G/SPS/N/CHN/937</v>
      </c>
      <c r="O762" s="2"/>
    </row>
    <row r="763" spans="1:15" ht="240" customHeight="1" outlineLevel="1" x14ac:dyDescent="0.25">
      <c r="A763" s="2" t="s">
        <v>380</v>
      </c>
      <c r="B763" s="2" t="s">
        <v>3866</v>
      </c>
      <c r="C763" s="2" t="s">
        <v>3867</v>
      </c>
      <c r="D763" s="2" t="s">
        <v>3868</v>
      </c>
      <c r="E763" s="3">
        <v>42250</v>
      </c>
      <c r="F763" s="2" t="s">
        <v>3869</v>
      </c>
      <c r="G763" s="2"/>
      <c r="H763" s="2" t="s">
        <v>2425</v>
      </c>
      <c r="I763" s="2" t="s">
        <v>2426</v>
      </c>
      <c r="J763" s="3">
        <v>42310</v>
      </c>
      <c r="K763" s="2" t="str">
        <f>HYPERLINK("https://docs.wto.org/imrd/directdoc.asp?DDFDocuments/t/G/SPS/NCHN936.DOC")</f>
        <v>https://docs.wto.org/imrd/directdoc.asp?DDFDocuments/t/G/SPS/NCHN936.DOC</v>
      </c>
      <c r="L763" s="2" t="str">
        <f>HYPERLINK("https://docs.wto.org/imrd/directdoc.asp?DDFDocuments/u/G/SPS/NCHN936.DOC")</f>
        <v>https://docs.wto.org/imrd/directdoc.asp?DDFDocuments/u/G/SPS/NCHN936.DOC</v>
      </c>
      <c r="M763" s="2" t="str">
        <f>HYPERLINK("https://docs.wto.org/imrd/directdoc.asp?DDFDocuments/v/G/SPS/NCHN936.DOC")</f>
        <v>https://docs.wto.org/imrd/directdoc.asp?DDFDocuments/v/G/SPS/NCHN936.DOC</v>
      </c>
      <c r="N763" s="2" t="str">
        <f>HYPERLINK("http://www.epingalert.org/#/details/G/SPS/N/CHN/936")</f>
        <v>http://www.epingalert.org/#/details/G/SPS/N/CHN/936</v>
      </c>
      <c r="O763" s="2"/>
    </row>
    <row r="764" spans="1:15" ht="240" customHeight="1" outlineLevel="1" x14ac:dyDescent="0.25">
      <c r="A764" s="2" t="s">
        <v>380</v>
      </c>
      <c r="B764" s="2" t="s">
        <v>3870</v>
      </c>
      <c r="C764" s="2" t="s">
        <v>3871</v>
      </c>
      <c r="D764" s="2" t="s">
        <v>3872</v>
      </c>
      <c r="E764" s="3">
        <v>42250</v>
      </c>
      <c r="F764" s="2" t="s">
        <v>3873</v>
      </c>
      <c r="G764" s="2"/>
      <c r="H764" s="2" t="s">
        <v>2425</v>
      </c>
      <c r="I764" s="2" t="s">
        <v>2426</v>
      </c>
      <c r="J764" s="3">
        <v>42310</v>
      </c>
      <c r="K764" s="2" t="str">
        <f>HYPERLINK("https://docs.wto.org/imrd/directdoc.asp?DDFDocuments/t/G/SPS/NCHN935.DOC")</f>
        <v>https://docs.wto.org/imrd/directdoc.asp?DDFDocuments/t/G/SPS/NCHN935.DOC</v>
      </c>
      <c r="L764" s="2" t="str">
        <f>HYPERLINK("https://docs.wto.org/imrd/directdoc.asp?DDFDocuments/u/G/SPS/NCHN935.DOC")</f>
        <v>https://docs.wto.org/imrd/directdoc.asp?DDFDocuments/u/G/SPS/NCHN935.DOC</v>
      </c>
      <c r="M764" s="2" t="str">
        <f>HYPERLINK("https://docs.wto.org/imrd/directdoc.asp?DDFDocuments/v/G/SPS/NCHN935.DOC")</f>
        <v>https://docs.wto.org/imrd/directdoc.asp?DDFDocuments/v/G/SPS/NCHN935.DOC</v>
      </c>
      <c r="N764" s="2" t="str">
        <f>HYPERLINK("http://www.epingalert.org/#/details/G/SPS/N/CHN/935")</f>
        <v>http://www.epingalert.org/#/details/G/SPS/N/CHN/935</v>
      </c>
      <c r="O764" s="2"/>
    </row>
    <row r="765" spans="1:15" ht="240" customHeight="1" outlineLevel="1" x14ac:dyDescent="0.25">
      <c r="A765" s="2" t="s">
        <v>380</v>
      </c>
      <c r="B765" s="2" t="s">
        <v>3874</v>
      </c>
      <c r="C765" s="2" t="s">
        <v>3875</v>
      </c>
      <c r="D765" s="2" t="s">
        <v>3876</v>
      </c>
      <c r="E765" s="3">
        <v>42250</v>
      </c>
      <c r="F765" s="2" t="s">
        <v>3877</v>
      </c>
      <c r="G765" s="2"/>
      <c r="H765" s="2" t="s">
        <v>2425</v>
      </c>
      <c r="I765" s="2" t="s">
        <v>2426</v>
      </c>
      <c r="J765" s="3">
        <v>42310</v>
      </c>
      <c r="K765" s="2" t="str">
        <f>HYPERLINK("https://docs.wto.org/imrd/directdoc.asp?DDFDocuments/t/G/SPS/NCHN934.DOC")</f>
        <v>https://docs.wto.org/imrd/directdoc.asp?DDFDocuments/t/G/SPS/NCHN934.DOC</v>
      </c>
      <c r="L765" s="2" t="str">
        <f>HYPERLINK("https://docs.wto.org/imrd/directdoc.asp?DDFDocuments/u/G/SPS/NCHN934.DOC")</f>
        <v>https://docs.wto.org/imrd/directdoc.asp?DDFDocuments/u/G/SPS/NCHN934.DOC</v>
      </c>
      <c r="M765" s="2" t="str">
        <f>HYPERLINK("https://docs.wto.org/imrd/directdoc.asp?DDFDocuments/v/G/SPS/NCHN934.DOC")</f>
        <v>https://docs.wto.org/imrd/directdoc.asp?DDFDocuments/v/G/SPS/NCHN934.DOC</v>
      </c>
      <c r="N765" s="2" t="str">
        <f>HYPERLINK("http://www.epingalert.org/#/details/G/SPS/N/CHN/934")</f>
        <v>http://www.epingalert.org/#/details/G/SPS/N/CHN/934</v>
      </c>
      <c r="O765" s="2"/>
    </row>
    <row r="766" spans="1:15" ht="240" customHeight="1" outlineLevel="1" x14ac:dyDescent="0.25">
      <c r="A766" s="2" t="s">
        <v>380</v>
      </c>
      <c r="B766" s="2" t="s">
        <v>3878</v>
      </c>
      <c r="C766" s="2" t="s">
        <v>3879</v>
      </c>
      <c r="D766" s="2" t="s">
        <v>3880</v>
      </c>
      <c r="E766" s="3">
        <v>42250</v>
      </c>
      <c r="F766" s="2" t="s">
        <v>3881</v>
      </c>
      <c r="G766" s="2"/>
      <c r="H766" s="2" t="s">
        <v>2425</v>
      </c>
      <c r="I766" s="2" t="s">
        <v>2426</v>
      </c>
      <c r="J766" s="3">
        <v>42310</v>
      </c>
      <c r="K766" s="2" t="str">
        <f>HYPERLINK("https://docs.wto.org/imrd/directdoc.asp?DDFDocuments/t/G/SPS/NCHN933.DOC")</f>
        <v>https://docs.wto.org/imrd/directdoc.asp?DDFDocuments/t/G/SPS/NCHN933.DOC</v>
      </c>
      <c r="L766" s="2" t="str">
        <f>HYPERLINK("https://docs.wto.org/imrd/directdoc.asp?DDFDocuments/u/G/SPS/NCHN933.DOC")</f>
        <v>https://docs.wto.org/imrd/directdoc.asp?DDFDocuments/u/G/SPS/NCHN933.DOC</v>
      </c>
      <c r="M766" s="2" t="str">
        <f>HYPERLINK("https://docs.wto.org/imrd/directdoc.asp?DDFDocuments/v/G/SPS/NCHN933.DOC")</f>
        <v>https://docs.wto.org/imrd/directdoc.asp?DDFDocuments/v/G/SPS/NCHN933.DOC</v>
      </c>
      <c r="N766" s="2" t="str">
        <f>HYPERLINK("http://www.epingalert.org/#/details/G/SPS/N/CHN/933")</f>
        <v>http://www.epingalert.org/#/details/G/SPS/N/CHN/933</v>
      </c>
      <c r="O766" s="2"/>
    </row>
    <row r="767" spans="1:15" ht="240" customHeight="1" outlineLevel="1" x14ac:dyDescent="0.25">
      <c r="A767" s="2" t="s">
        <v>380</v>
      </c>
      <c r="B767" s="2" t="s">
        <v>3882</v>
      </c>
      <c r="C767" s="2" t="s">
        <v>3883</v>
      </c>
      <c r="D767" s="2" t="s">
        <v>3884</v>
      </c>
      <c r="E767" s="3">
        <v>42250</v>
      </c>
      <c r="F767" s="2" t="s">
        <v>3885</v>
      </c>
      <c r="G767" s="2"/>
      <c r="H767" s="2" t="s">
        <v>2425</v>
      </c>
      <c r="I767" s="2" t="s">
        <v>2426</v>
      </c>
      <c r="J767" s="3">
        <v>42310</v>
      </c>
      <c r="K767" s="2" t="str">
        <f>HYPERLINK("https://docs.wto.org/imrd/directdoc.asp?DDFDocuments/t/G/SPS/NCHN932.DOC")</f>
        <v>https://docs.wto.org/imrd/directdoc.asp?DDFDocuments/t/G/SPS/NCHN932.DOC</v>
      </c>
      <c r="L767" s="2" t="str">
        <f>HYPERLINK("https://docs.wto.org/imrd/directdoc.asp?DDFDocuments/u/G/SPS/NCHN932.DOC")</f>
        <v>https://docs.wto.org/imrd/directdoc.asp?DDFDocuments/u/G/SPS/NCHN932.DOC</v>
      </c>
      <c r="M767" s="2" t="str">
        <f>HYPERLINK("https://docs.wto.org/imrd/directdoc.asp?DDFDocuments/v/G/SPS/NCHN932.DOC")</f>
        <v>https://docs.wto.org/imrd/directdoc.asp?DDFDocuments/v/G/SPS/NCHN932.DOC</v>
      </c>
      <c r="N767" s="2" t="str">
        <f>HYPERLINK("http://www.epingalert.org/#/details/G/SPS/N/CHN/932")</f>
        <v>http://www.epingalert.org/#/details/G/SPS/N/CHN/932</v>
      </c>
      <c r="O767" s="2"/>
    </row>
    <row r="768" spans="1:15" ht="240" customHeight="1" outlineLevel="1" x14ac:dyDescent="0.25">
      <c r="A768" s="2" t="s">
        <v>115</v>
      </c>
      <c r="B768" s="2" t="s">
        <v>7502</v>
      </c>
      <c r="C768" s="2"/>
      <c r="D768" s="2"/>
      <c r="E768" s="3">
        <v>42250</v>
      </c>
      <c r="F768" s="2" t="s">
        <v>7503</v>
      </c>
      <c r="G768" s="2" t="s">
        <v>7504</v>
      </c>
      <c r="H768" s="2" t="s">
        <v>2425</v>
      </c>
      <c r="I768" s="2" t="s">
        <v>7505</v>
      </c>
      <c r="J768" s="2"/>
      <c r="K768" s="2" t="str">
        <f>HYPERLINK("https://docs.wto.org/imrd/directdoc.asp?DDFDocuments/t/G/SPS/NJPN396R1C1.DOC")</f>
        <v>https://docs.wto.org/imrd/directdoc.asp?DDFDocuments/t/G/SPS/NJPN396R1C1.DOC</v>
      </c>
      <c r="L768" s="2" t="str">
        <f>HYPERLINK("https://docs.wto.org/imrd/directdoc.asp?DDFDocuments/u/G/SPS/NJPN396R1C1.DOC")</f>
        <v>https://docs.wto.org/imrd/directdoc.asp?DDFDocuments/u/G/SPS/NJPN396R1C1.DOC</v>
      </c>
      <c r="M768" s="2" t="str">
        <f>HYPERLINK("https://docs.wto.org/imrd/directdoc.asp?DDFDocuments/v/G/SPS/NJPN396R1C1.DOC")</f>
        <v>https://docs.wto.org/imrd/directdoc.asp?DDFDocuments/v/G/SPS/NJPN396R1C1.DOC</v>
      </c>
      <c r="N768" s="2" t="str">
        <f>HYPERLINK("http://www.epingalert.org/#/details/G/SPS/N/JPN/396/Rev.1/Corr.1")</f>
        <v>http://www.epingalert.org/#/details/G/SPS/N/JPN/396/Rev.1/Corr.1</v>
      </c>
      <c r="O768" s="2"/>
    </row>
    <row r="769" spans="1:15" ht="240" customHeight="1" outlineLevel="1" x14ac:dyDescent="0.25">
      <c r="A769" s="2" t="s">
        <v>380</v>
      </c>
      <c r="B769" s="2" t="s">
        <v>3900</v>
      </c>
      <c r="C769" s="2" t="s">
        <v>3901</v>
      </c>
      <c r="D769" s="2" t="s">
        <v>3902</v>
      </c>
      <c r="E769" s="3">
        <v>42249</v>
      </c>
      <c r="F769" s="2" t="s">
        <v>3903</v>
      </c>
      <c r="G769" s="2"/>
      <c r="H769" s="2" t="s">
        <v>2425</v>
      </c>
      <c r="I769" s="2" t="s">
        <v>2426</v>
      </c>
      <c r="J769" s="3">
        <v>42309</v>
      </c>
      <c r="K769" s="2" t="str">
        <f>HYPERLINK("https://docs.wto.org/imrd/directdoc.asp?DDFDocuments/t/G/SPS/NCHN931.DOC")</f>
        <v>https://docs.wto.org/imrd/directdoc.asp?DDFDocuments/t/G/SPS/NCHN931.DOC</v>
      </c>
      <c r="L769" s="2" t="str">
        <f>HYPERLINK("https://docs.wto.org/imrd/directdoc.asp?DDFDocuments/u/G/SPS/NCHN931.DOC")</f>
        <v>https://docs.wto.org/imrd/directdoc.asp?DDFDocuments/u/G/SPS/NCHN931.DOC</v>
      </c>
      <c r="M769" s="2" t="str">
        <f>HYPERLINK("https://docs.wto.org/imrd/directdoc.asp?DDFDocuments/v/G/SPS/NCHN931.DOC")</f>
        <v>https://docs.wto.org/imrd/directdoc.asp?DDFDocuments/v/G/SPS/NCHN931.DOC</v>
      </c>
      <c r="N769" s="2" t="str">
        <f>HYPERLINK("http://www.epingalert.org/#/details/G/SPS/N/CHN/931")</f>
        <v>http://www.epingalert.org/#/details/G/SPS/N/CHN/931</v>
      </c>
      <c r="O769" s="2"/>
    </row>
    <row r="770" spans="1:15" ht="240" customHeight="1" outlineLevel="1" x14ac:dyDescent="0.25">
      <c r="A770" s="2" t="s">
        <v>380</v>
      </c>
      <c r="B770" s="2" t="s">
        <v>3904</v>
      </c>
      <c r="C770" s="2" t="s">
        <v>3905</v>
      </c>
      <c r="D770" s="2" t="s">
        <v>3906</v>
      </c>
      <c r="E770" s="3">
        <v>42249</v>
      </c>
      <c r="F770" s="2" t="s">
        <v>3907</v>
      </c>
      <c r="G770" s="2"/>
      <c r="H770" s="2" t="s">
        <v>2425</v>
      </c>
      <c r="I770" s="2" t="s">
        <v>2426</v>
      </c>
      <c r="J770" s="3">
        <v>42309</v>
      </c>
      <c r="K770" s="2" t="str">
        <f>HYPERLINK("https://docs.wto.org/imrd/directdoc.asp?DDFDocuments/t/G/SPS/NCHN930.DOC")</f>
        <v>https://docs.wto.org/imrd/directdoc.asp?DDFDocuments/t/G/SPS/NCHN930.DOC</v>
      </c>
      <c r="L770" s="2" t="str">
        <f>HYPERLINK("https://docs.wto.org/imrd/directdoc.asp?DDFDocuments/u/G/SPS/NCHN930.DOC")</f>
        <v>https://docs.wto.org/imrd/directdoc.asp?DDFDocuments/u/G/SPS/NCHN930.DOC</v>
      </c>
      <c r="M770" s="2" t="str">
        <f>HYPERLINK("https://docs.wto.org/imrd/directdoc.asp?DDFDocuments/v/G/SPS/NCHN930.DOC")</f>
        <v>https://docs.wto.org/imrd/directdoc.asp?DDFDocuments/v/G/SPS/NCHN930.DOC</v>
      </c>
      <c r="N770" s="2" t="str">
        <f>HYPERLINK("http://www.epingalert.org/#/details/G/SPS/N/CHN/930")</f>
        <v>http://www.epingalert.org/#/details/G/SPS/N/CHN/930</v>
      </c>
      <c r="O770" s="2"/>
    </row>
    <row r="771" spans="1:15" ht="240" customHeight="1" outlineLevel="1" x14ac:dyDescent="0.25">
      <c r="A771" s="2" t="s">
        <v>3577</v>
      </c>
      <c r="B771" s="2" t="s">
        <v>3886</v>
      </c>
      <c r="C771" s="2" t="s">
        <v>3887</v>
      </c>
      <c r="D771" s="2" t="s">
        <v>3888</v>
      </c>
      <c r="E771" s="3">
        <v>42249</v>
      </c>
      <c r="F771" s="2" t="s">
        <v>3889</v>
      </c>
      <c r="G771" s="2"/>
      <c r="H771" s="2" t="s">
        <v>2425</v>
      </c>
      <c r="I771" s="2" t="s">
        <v>2566</v>
      </c>
      <c r="J771" s="2"/>
      <c r="K771" s="2" t="str">
        <f>HYPERLINK("https://docs.wto.org/imrd/directdoc.asp?DDFDocuments/t/G/SPS/NNGA3.DOC")</f>
        <v>https://docs.wto.org/imrd/directdoc.asp?DDFDocuments/t/G/SPS/NNGA3.DOC</v>
      </c>
      <c r="L771" s="2" t="str">
        <f>HYPERLINK("https://docs.wto.org/imrd/directdoc.asp?DDFDocuments/u/G/SPS/NNGA3.DOC")</f>
        <v>https://docs.wto.org/imrd/directdoc.asp?DDFDocuments/u/G/SPS/NNGA3.DOC</v>
      </c>
      <c r="M771" s="2" t="str">
        <f>HYPERLINK("https://docs.wto.org/imrd/directdoc.asp?DDFDocuments/v/G/SPS/NNGA3.DOC")</f>
        <v>https://docs.wto.org/imrd/directdoc.asp?DDFDocuments/v/G/SPS/NNGA3.DOC</v>
      </c>
      <c r="N771" s="2" t="str">
        <f>HYPERLINK("http://www.epingalert.org/#/details/G/SPS/N/NGA/3")</f>
        <v>http://www.epingalert.org/#/details/G/SPS/N/NGA/3</v>
      </c>
      <c r="O771" s="2"/>
    </row>
    <row r="772" spans="1:15" ht="240" customHeight="1" outlineLevel="1" x14ac:dyDescent="0.25">
      <c r="A772" s="2" t="s">
        <v>3577</v>
      </c>
      <c r="B772" s="2" t="s">
        <v>3890</v>
      </c>
      <c r="C772" s="2" t="s">
        <v>3891</v>
      </c>
      <c r="D772" s="2" t="s">
        <v>3892</v>
      </c>
      <c r="E772" s="3">
        <v>42249</v>
      </c>
      <c r="F772" s="2" t="s">
        <v>3893</v>
      </c>
      <c r="G772" s="2" t="s">
        <v>3894</v>
      </c>
      <c r="H772" s="2" t="s">
        <v>2425</v>
      </c>
      <c r="I772" s="2" t="s">
        <v>2558</v>
      </c>
      <c r="J772" s="2"/>
      <c r="K772" s="2" t="str">
        <f>HYPERLINK("https://docs.wto.org/imrd/directdoc.asp?DDFDocuments/t/G/SPS/NNGA2.DOC")</f>
        <v>https://docs.wto.org/imrd/directdoc.asp?DDFDocuments/t/G/SPS/NNGA2.DOC</v>
      </c>
      <c r="L772" s="2" t="str">
        <f>HYPERLINK("https://docs.wto.org/imrd/directdoc.asp?DDFDocuments/u/G/SPS/NNGA2.DOC")</f>
        <v>https://docs.wto.org/imrd/directdoc.asp?DDFDocuments/u/G/SPS/NNGA2.DOC</v>
      </c>
      <c r="M772" s="2" t="str">
        <f>HYPERLINK("https://docs.wto.org/imrd/directdoc.asp?DDFDocuments/v/G/SPS/NNGA2.DOC")</f>
        <v>https://docs.wto.org/imrd/directdoc.asp?DDFDocuments/v/G/SPS/NNGA2.DOC</v>
      </c>
      <c r="N772" s="2" t="str">
        <f>HYPERLINK("http://www.epingalert.org/#/details/G/SPS/N/NGA/2")</f>
        <v>http://www.epingalert.org/#/details/G/SPS/N/NGA/2</v>
      </c>
      <c r="O772" s="2"/>
    </row>
    <row r="773" spans="1:15" ht="240" customHeight="1" outlineLevel="1" x14ac:dyDescent="0.25">
      <c r="A773" s="2" t="s">
        <v>3577</v>
      </c>
      <c r="B773" s="2" t="s">
        <v>3895</v>
      </c>
      <c r="C773" s="2" t="s">
        <v>3896</v>
      </c>
      <c r="D773" s="2" t="s">
        <v>3897</v>
      </c>
      <c r="E773" s="3">
        <v>42249</v>
      </c>
      <c r="F773" s="2" t="s">
        <v>3898</v>
      </c>
      <c r="G773" s="2" t="s">
        <v>3899</v>
      </c>
      <c r="H773" s="2" t="s">
        <v>2425</v>
      </c>
      <c r="I773" s="2" t="s">
        <v>2995</v>
      </c>
      <c r="J773" s="2"/>
      <c r="K773" s="2" t="str">
        <f>HYPERLINK("https://docs.wto.org/imrd/directdoc.asp?DDFDocuments/t/G/SPS/NNGA4.DOC")</f>
        <v>https://docs.wto.org/imrd/directdoc.asp?DDFDocuments/t/G/SPS/NNGA4.DOC</v>
      </c>
      <c r="L773" s="2" t="str">
        <f>HYPERLINK("https://docs.wto.org/imrd/directdoc.asp?DDFDocuments/u/G/SPS/NNGA4.DOC")</f>
        <v>https://docs.wto.org/imrd/directdoc.asp?DDFDocuments/u/G/SPS/NNGA4.DOC</v>
      </c>
      <c r="M773" s="2" t="str">
        <f>HYPERLINK("https://docs.wto.org/imrd/directdoc.asp?DDFDocuments/v/G/SPS/NNGA4.DOC")</f>
        <v>https://docs.wto.org/imrd/directdoc.asp?DDFDocuments/v/G/SPS/NNGA4.DOC</v>
      </c>
      <c r="N773" s="2" t="str">
        <f>HYPERLINK("http://www.epingalert.org/#/details/G/SPS/N/NGA/4")</f>
        <v>http://www.epingalert.org/#/details/G/SPS/N/NGA/4</v>
      </c>
      <c r="O773" s="2"/>
    </row>
    <row r="774" spans="1:15" ht="240" customHeight="1" outlineLevel="1" x14ac:dyDescent="0.25">
      <c r="A774" s="2" t="s">
        <v>380</v>
      </c>
      <c r="B774" s="2" t="s">
        <v>3908</v>
      </c>
      <c r="C774" s="2" t="s">
        <v>3909</v>
      </c>
      <c r="D774" s="2" t="s">
        <v>3910</v>
      </c>
      <c r="E774" s="3">
        <v>42248</v>
      </c>
      <c r="F774" s="2" t="s">
        <v>3911</v>
      </c>
      <c r="G774" s="2"/>
      <c r="H774" s="2" t="s">
        <v>2425</v>
      </c>
      <c r="I774" s="2" t="s">
        <v>2426</v>
      </c>
      <c r="J774" s="3">
        <v>42308</v>
      </c>
      <c r="K774" s="2" t="str">
        <f>HYPERLINK("https://docs.wto.org/imrd/directdoc.asp?DDFDocuments/t/G/SPS/NCHN921.DOC")</f>
        <v>https://docs.wto.org/imrd/directdoc.asp?DDFDocuments/t/G/SPS/NCHN921.DOC</v>
      </c>
      <c r="L774" s="2" t="str">
        <f>HYPERLINK("https://docs.wto.org/imrd/directdoc.asp?DDFDocuments/u/G/SPS/NCHN921.DOC")</f>
        <v>https://docs.wto.org/imrd/directdoc.asp?DDFDocuments/u/G/SPS/NCHN921.DOC</v>
      </c>
      <c r="M774" s="2" t="str">
        <f>HYPERLINK("https://docs.wto.org/imrd/directdoc.asp?DDFDocuments/v/G/SPS/NCHN921.DOC")</f>
        <v>https://docs.wto.org/imrd/directdoc.asp?DDFDocuments/v/G/SPS/NCHN921.DOC</v>
      </c>
      <c r="N774" s="2" t="str">
        <f>HYPERLINK("http://www.epingalert.org/#/details/G/SPS/N/CHN/921")</f>
        <v>http://www.epingalert.org/#/details/G/SPS/N/CHN/921</v>
      </c>
      <c r="O774" s="2"/>
    </row>
    <row r="775" spans="1:15" ht="240" customHeight="1" outlineLevel="1" x14ac:dyDescent="0.25">
      <c r="A775" s="2" t="s">
        <v>380</v>
      </c>
      <c r="B775" s="2" t="s">
        <v>3912</v>
      </c>
      <c r="C775" s="2" t="s">
        <v>3913</v>
      </c>
      <c r="D775" s="2" t="s">
        <v>3914</v>
      </c>
      <c r="E775" s="3">
        <v>42248</v>
      </c>
      <c r="F775" s="2" t="s">
        <v>3915</v>
      </c>
      <c r="G775" s="2"/>
      <c r="H775" s="2" t="s">
        <v>2425</v>
      </c>
      <c r="I775" s="2" t="s">
        <v>2426</v>
      </c>
      <c r="J775" s="3">
        <v>42308</v>
      </c>
      <c r="K775" s="2" t="str">
        <f>HYPERLINK("https://docs.wto.org/imrd/directdoc.asp?DDFDocuments/t/G/SPS/NCHN913.DOC")</f>
        <v>https://docs.wto.org/imrd/directdoc.asp?DDFDocuments/t/G/SPS/NCHN913.DOC</v>
      </c>
      <c r="L775" s="2" t="str">
        <f>HYPERLINK("https://docs.wto.org/imrd/directdoc.asp?DDFDocuments/u/G/SPS/NCHN913.DOC")</f>
        <v>https://docs.wto.org/imrd/directdoc.asp?DDFDocuments/u/G/SPS/NCHN913.DOC</v>
      </c>
      <c r="M775" s="2" t="str">
        <f>HYPERLINK("https://docs.wto.org/imrd/directdoc.asp?DDFDocuments/v/G/SPS/NCHN913.DOC")</f>
        <v>https://docs.wto.org/imrd/directdoc.asp?DDFDocuments/v/G/SPS/NCHN913.DOC</v>
      </c>
      <c r="N775" s="2" t="str">
        <f>HYPERLINK("http://www.epingalert.org/#/details/G/SPS/N/CHN/913")</f>
        <v>http://www.epingalert.org/#/details/G/SPS/N/CHN/913</v>
      </c>
      <c r="O775" s="2"/>
    </row>
    <row r="776" spans="1:15" ht="240" customHeight="1" outlineLevel="1" x14ac:dyDescent="0.25">
      <c r="A776" s="2" t="s">
        <v>77</v>
      </c>
      <c r="B776" s="2" t="s">
        <v>3916</v>
      </c>
      <c r="C776" s="2" t="s">
        <v>3917</v>
      </c>
      <c r="D776" s="2" t="s">
        <v>3918</v>
      </c>
      <c r="E776" s="3">
        <v>42248</v>
      </c>
      <c r="F776" s="2" t="s">
        <v>3919</v>
      </c>
      <c r="G776" s="2" t="s">
        <v>3920</v>
      </c>
      <c r="H776" s="2" t="s">
        <v>2573</v>
      </c>
      <c r="I776" s="2" t="s">
        <v>2461</v>
      </c>
      <c r="J776" s="3">
        <v>42308</v>
      </c>
      <c r="K776" s="2" t="str">
        <f>HYPERLINK("https://docs.wto.org/imrd/directdoc.asp?DDFDocuments/t/G/SPS/NTPKM364.DOC")</f>
        <v>https://docs.wto.org/imrd/directdoc.asp?DDFDocuments/t/G/SPS/NTPKM364.DOC</v>
      </c>
      <c r="L776" s="2" t="str">
        <f>HYPERLINK("https://docs.wto.org/imrd/directdoc.asp?DDFDocuments/u/G/SPS/NTPKM364.DOC")</f>
        <v>https://docs.wto.org/imrd/directdoc.asp?DDFDocuments/u/G/SPS/NTPKM364.DOC</v>
      </c>
      <c r="M776" s="2" t="str">
        <f>HYPERLINK("https://docs.wto.org/imrd/directdoc.asp?DDFDocuments/v/G/SPS/NTPKM364.DOC")</f>
        <v>https://docs.wto.org/imrd/directdoc.asp?DDFDocuments/v/G/SPS/NTPKM364.DOC</v>
      </c>
      <c r="N776" s="2" t="str">
        <f>HYPERLINK("http://www.epingalert.org/#/details/G/SPS/N/TPKM/364")</f>
        <v>http://www.epingalert.org/#/details/G/SPS/N/TPKM/364</v>
      </c>
      <c r="O776" s="2"/>
    </row>
    <row r="777" spans="1:15" ht="240" customHeight="1" outlineLevel="1" x14ac:dyDescent="0.25">
      <c r="A777" s="2" t="s">
        <v>380</v>
      </c>
      <c r="B777" s="2" t="s">
        <v>3921</v>
      </c>
      <c r="C777" s="2" t="s">
        <v>3922</v>
      </c>
      <c r="D777" s="2" t="s">
        <v>3923</v>
      </c>
      <c r="E777" s="3">
        <v>42248</v>
      </c>
      <c r="F777" s="2" t="s">
        <v>3924</v>
      </c>
      <c r="G777" s="2"/>
      <c r="H777" s="2" t="s">
        <v>2425</v>
      </c>
      <c r="I777" s="2" t="s">
        <v>2426</v>
      </c>
      <c r="J777" s="3">
        <v>42308</v>
      </c>
      <c r="K777" s="2" t="str">
        <f>HYPERLINK("https://docs.wto.org/imrd/directdoc.asp?DDFDocuments/t/G/SPS/NCHN924.DOC")</f>
        <v>https://docs.wto.org/imrd/directdoc.asp?DDFDocuments/t/G/SPS/NCHN924.DOC</v>
      </c>
      <c r="L777" s="2" t="str">
        <f>HYPERLINK("https://docs.wto.org/imrd/directdoc.asp?DDFDocuments/u/G/SPS/NCHN924.DOC")</f>
        <v>https://docs.wto.org/imrd/directdoc.asp?DDFDocuments/u/G/SPS/NCHN924.DOC</v>
      </c>
      <c r="M777" s="2" t="str">
        <f>HYPERLINK("https://docs.wto.org/imrd/directdoc.asp?DDFDocuments/v/G/SPS/NCHN924.DOC")</f>
        <v>https://docs.wto.org/imrd/directdoc.asp?DDFDocuments/v/G/SPS/NCHN924.DOC</v>
      </c>
      <c r="N777" s="2" t="str">
        <f>HYPERLINK("http://www.epingalert.org/#/details/G/SPS/N/CHN/924")</f>
        <v>http://www.epingalert.org/#/details/G/SPS/N/CHN/924</v>
      </c>
      <c r="O777" s="2"/>
    </row>
    <row r="778" spans="1:15" ht="240" customHeight="1" outlineLevel="1" x14ac:dyDescent="0.25">
      <c r="A778" s="2" t="s">
        <v>380</v>
      </c>
      <c r="B778" s="2" t="s">
        <v>3925</v>
      </c>
      <c r="C778" s="2" t="s">
        <v>3926</v>
      </c>
      <c r="D778" s="2" t="s">
        <v>3927</v>
      </c>
      <c r="E778" s="3">
        <v>42248</v>
      </c>
      <c r="F778" s="2" t="s">
        <v>3928</v>
      </c>
      <c r="G778" s="2"/>
      <c r="H778" s="2" t="s">
        <v>2425</v>
      </c>
      <c r="I778" s="2" t="s">
        <v>2426</v>
      </c>
      <c r="J778" s="3">
        <v>42308</v>
      </c>
      <c r="K778" s="2" t="str">
        <f>HYPERLINK("https://docs.wto.org/imrd/directdoc.asp?DDFDocuments/t/G/SPS/NCHN904.DOC")</f>
        <v>https://docs.wto.org/imrd/directdoc.asp?DDFDocuments/t/G/SPS/NCHN904.DOC</v>
      </c>
      <c r="L778" s="2" t="str">
        <f>HYPERLINK("https://docs.wto.org/imrd/directdoc.asp?DDFDocuments/u/G/SPS/NCHN904.DOC")</f>
        <v>https://docs.wto.org/imrd/directdoc.asp?DDFDocuments/u/G/SPS/NCHN904.DOC</v>
      </c>
      <c r="M778" s="2" t="str">
        <f>HYPERLINK("https://docs.wto.org/imrd/directdoc.asp?DDFDocuments/v/G/SPS/NCHN904.DOC")</f>
        <v>https://docs.wto.org/imrd/directdoc.asp?DDFDocuments/v/G/SPS/NCHN904.DOC</v>
      </c>
      <c r="N778" s="2" t="str">
        <f>HYPERLINK("http://www.epingalert.org/#/details/G/SPS/N/CHN/904")</f>
        <v>http://www.epingalert.org/#/details/G/SPS/N/CHN/904</v>
      </c>
      <c r="O778" s="2"/>
    </row>
    <row r="779" spans="1:15" ht="240" customHeight="1" outlineLevel="1" x14ac:dyDescent="0.25">
      <c r="A779" s="2" t="s">
        <v>380</v>
      </c>
      <c r="B779" s="2" t="s">
        <v>3929</v>
      </c>
      <c r="C779" s="2" t="s">
        <v>3930</v>
      </c>
      <c r="D779" s="2" t="s">
        <v>3931</v>
      </c>
      <c r="E779" s="3">
        <v>42248</v>
      </c>
      <c r="F779" s="2" t="s">
        <v>3932</v>
      </c>
      <c r="G779" s="2"/>
      <c r="H779" s="2" t="s">
        <v>2425</v>
      </c>
      <c r="I779" s="2" t="s">
        <v>2426</v>
      </c>
      <c r="J779" s="3">
        <v>42308</v>
      </c>
      <c r="K779" s="2" t="str">
        <f>HYPERLINK("https://docs.wto.org/imrd/directdoc.asp?DDFDocuments/t/G/SPS/NCHN911.DOC")</f>
        <v>https://docs.wto.org/imrd/directdoc.asp?DDFDocuments/t/G/SPS/NCHN911.DOC</v>
      </c>
      <c r="L779" s="2" t="str">
        <f>HYPERLINK("https://docs.wto.org/imrd/directdoc.asp?DDFDocuments/u/G/SPS/NCHN911.DOC")</f>
        <v>https://docs.wto.org/imrd/directdoc.asp?DDFDocuments/u/G/SPS/NCHN911.DOC</v>
      </c>
      <c r="M779" s="2" t="str">
        <f>HYPERLINK("https://docs.wto.org/imrd/directdoc.asp?DDFDocuments/v/G/SPS/NCHN911.DOC")</f>
        <v>https://docs.wto.org/imrd/directdoc.asp?DDFDocuments/v/G/SPS/NCHN911.DOC</v>
      </c>
      <c r="N779" s="2" t="str">
        <f>HYPERLINK("http://www.epingalert.org/#/details/G/SPS/N/CHN/911")</f>
        <v>http://www.epingalert.org/#/details/G/SPS/N/CHN/911</v>
      </c>
      <c r="O779" s="2"/>
    </row>
    <row r="780" spans="1:15" ht="240" customHeight="1" outlineLevel="1" x14ac:dyDescent="0.25">
      <c r="A780" s="2" t="s">
        <v>380</v>
      </c>
      <c r="B780" s="2" t="s">
        <v>3933</v>
      </c>
      <c r="C780" s="2" t="s">
        <v>3934</v>
      </c>
      <c r="D780" s="2" t="s">
        <v>3935</v>
      </c>
      <c r="E780" s="3">
        <v>42248</v>
      </c>
      <c r="F780" s="2" t="s">
        <v>3936</v>
      </c>
      <c r="G780" s="2"/>
      <c r="H780" s="2" t="s">
        <v>2425</v>
      </c>
      <c r="I780" s="2" t="s">
        <v>2426</v>
      </c>
      <c r="J780" s="3">
        <v>42308</v>
      </c>
      <c r="K780" s="2" t="str">
        <f>HYPERLINK("https://docs.wto.org/imrd/directdoc.asp?DDFDocuments/t/G/SPS/NCHN923.DOC")</f>
        <v>https://docs.wto.org/imrd/directdoc.asp?DDFDocuments/t/G/SPS/NCHN923.DOC</v>
      </c>
      <c r="L780" s="2" t="str">
        <f>HYPERLINK("https://docs.wto.org/imrd/directdoc.asp?DDFDocuments/u/G/SPS/NCHN923.DOC")</f>
        <v>https://docs.wto.org/imrd/directdoc.asp?DDFDocuments/u/G/SPS/NCHN923.DOC</v>
      </c>
      <c r="M780" s="2" t="str">
        <f>HYPERLINK("https://docs.wto.org/imrd/directdoc.asp?DDFDocuments/v/G/SPS/NCHN923.DOC")</f>
        <v>https://docs.wto.org/imrd/directdoc.asp?DDFDocuments/v/G/SPS/NCHN923.DOC</v>
      </c>
      <c r="N780" s="2" t="str">
        <f>HYPERLINK("http://www.epingalert.org/#/details/G/SPS/N/CHN/923")</f>
        <v>http://www.epingalert.org/#/details/G/SPS/N/CHN/923</v>
      </c>
      <c r="O780" s="2"/>
    </row>
    <row r="781" spans="1:15" ht="240" customHeight="1" outlineLevel="1" x14ac:dyDescent="0.25">
      <c r="A781" s="2" t="s">
        <v>380</v>
      </c>
      <c r="B781" s="2" t="s">
        <v>3937</v>
      </c>
      <c r="C781" s="2" t="s">
        <v>3938</v>
      </c>
      <c r="D781" s="2" t="s">
        <v>3939</v>
      </c>
      <c r="E781" s="3">
        <v>42248</v>
      </c>
      <c r="F781" s="2" t="s">
        <v>3940</v>
      </c>
      <c r="G781" s="2"/>
      <c r="H781" s="2" t="s">
        <v>2425</v>
      </c>
      <c r="I781" s="2" t="s">
        <v>2426</v>
      </c>
      <c r="J781" s="3">
        <v>42308</v>
      </c>
      <c r="K781" s="2" t="str">
        <f>HYPERLINK("https://docs.wto.org/imrd/directdoc.asp?DDFDocuments/t/G/SPS/NCHN920.DOC")</f>
        <v>https://docs.wto.org/imrd/directdoc.asp?DDFDocuments/t/G/SPS/NCHN920.DOC</v>
      </c>
      <c r="L781" s="2" t="str">
        <f>HYPERLINK("https://docs.wto.org/imrd/directdoc.asp?DDFDocuments/u/G/SPS/NCHN920.DOC")</f>
        <v>https://docs.wto.org/imrd/directdoc.asp?DDFDocuments/u/G/SPS/NCHN920.DOC</v>
      </c>
      <c r="M781" s="2" t="str">
        <f>HYPERLINK("https://docs.wto.org/imrd/directdoc.asp?DDFDocuments/v/G/SPS/NCHN920.DOC")</f>
        <v>https://docs.wto.org/imrd/directdoc.asp?DDFDocuments/v/G/SPS/NCHN920.DOC</v>
      </c>
      <c r="N781" s="2" t="str">
        <f>HYPERLINK("http://www.epingalert.org/#/details/G/SPS/N/CHN/920")</f>
        <v>http://www.epingalert.org/#/details/G/SPS/N/CHN/920</v>
      </c>
      <c r="O781" s="2"/>
    </row>
    <row r="782" spans="1:15" ht="240" customHeight="1" outlineLevel="1" x14ac:dyDescent="0.25">
      <c r="A782" s="2" t="s">
        <v>380</v>
      </c>
      <c r="B782" s="2" t="s">
        <v>3941</v>
      </c>
      <c r="C782" s="2" t="s">
        <v>3942</v>
      </c>
      <c r="D782" s="2" t="s">
        <v>3943</v>
      </c>
      <c r="E782" s="3">
        <v>42248</v>
      </c>
      <c r="F782" s="2" t="s">
        <v>3944</v>
      </c>
      <c r="G782" s="2"/>
      <c r="H782" s="2" t="s">
        <v>2425</v>
      </c>
      <c r="I782" s="2" t="s">
        <v>2426</v>
      </c>
      <c r="J782" s="3">
        <v>42308</v>
      </c>
      <c r="K782" s="2" t="str">
        <f>HYPERLINK("https://docs.wto.org/imrd/directdoc.asp?DDFDocuments/t/G/SPS/NCHN915.DOC")</f>
        <v>https://docs.wto.org/imrd/directdoc.asp?DDFDocuments/t/G/SPS/NCHN915.DOC</v>
      </c>
      <c r="L782" s="2" t="str">
        <f>HYPERLINK("https://docs.wto.org/imrd/directdoc.asp?DDFDocuments/u/G/SPS/NCHN915.DOC")</f>
        <v>https://docs.wto.org/imrd/directdoc.asp?DDFDocuments/u/G/SPS/NCHN915.DOC</v>
      </c>
      <c r="M782" s="2" t="str">
        <f>HYPERLINK("https://docs.wto.org/imrd/directdoc.asp?DDFDocuments/v/G/SPS/NCHN915.DOC")</f>
        <v>https://docs.wto.org/imrd/directdoc.asp?DDFDocuments/v/G/SPS/NCHN915.DOC</v>
      </c>
      <c r="N782" s="2" t="str">
        <f>HYPERLINK("http://www.epingalert.org/#/details/G/SPS/N/CHN/915")</f>
        <v>http://www.epingalert.org/#/details/G/SPS/N/CHN/915</v>
      </c>
      <c r="O782" s="2"/>
    </row>
    <row r="783" spans="1:15" ht="240" customHeight="1" outlineLevel="1" x14ac:dyDescent="0.25">
      <c r="A783" s="2" t="s">
        <v>380</v>
      </c>
      <c r="B783" s="2" t="s">
        <v>3945</v>
      </c>
      <c r="C783" s="2" t="s">
        <v>3946</v>
      </c>
      <c r="D783" s="2" t="s">
        <v>3947</v>
      </c>
      <c r="E783" s="3">
        <v>42248</v>
      </c>
      <c r="F783" s="2" t="s">
        <v>3948</v>
      </c>
      <c r="G783" s="2"/>
      <c r="H783" s="2" t="s">
        <v>2425</v>
      </c>
      <c r="I783" s="2" t="s">
        <v>2426</v>
      </c>
      <c r="J783" s="3">
        <v>42308</v>
      </c>
      <c r="K783" s="2" t="str">
        <f>HYPERLINK("https://docs.wto.org/imrd/directdoc.asp?DDFDocuments/t/G/SPS/NCHN927.DOC")</f>
        <v>https://docs.wto.org/imrd/directdoc.asp?DDFDocuments/t/G/SPS/NCHN927.DOC</v>
      </c>
      <c r="L783" s="2" t="str">
        <f>HYPERLINK("https://docs.wto.org/imrd/directdoc.asp?DDFDocuments/u/G/SPS/NCHN927.DOC")</f>
        <v>https://docs.wto.org/imrd/directdoc.asp?DDFDocuments/u/G/SPS/NCHN927.DOC</v>
      </c>
      <c r="M783" s="2" t="str">
        <f>HYPERLINK("https://docs.wto.org/imrd/directdoc.asp?DDFDocuments/v/G/SPS/NCHN927.DOC")</f>
        <v>https://docs.wto.org/imrd/directdoc.asp?DDFDocuments/v/G/SPS/NCHN927.DOC</v>
      </c>
      <c r="N783" s="2" t="str">
        <f>HYPERLINK("http://www.epingalert.org/#/details/G/SPS/N/CHN/927")</f>
        <v>http://www.epingalert.org/#/details/G/SPS/N/CHN/927</v>
      </c>
      <c r="O783" s="2"/>
    </row>
    <row r="784" spans="1:15" ht="240" customHeight="1" outlineLevel="1" x14ac:dyDescent="0.25">
      <c r="A784" s="2" t="s">
        <v>380</v>
      </c>
      <c r="B784" s="2" t="s">
        <v>3949</v>
      </c>
      <c r="C784" s="2" t="s">
        <v>3950</v>
      </c>
      <c r="D784" s="2" t="s">
        <v>3951</v>
      </c>
      <c r="E784" s="3">
        <v>42248</v>
      </c>
      <c r="F784" s="2" t="s">
        <v>3952</v>
      </c>
      <c r="G784" s="2"/>
      <c r="H784" s="2" t="s">
        <v>2425</v>
      </c>
      <c r="I784" s="2" t="s">
        <v>2426</v>
      </c>
      <c r="J784" s="3">
        <v>42308</v>
      </c>
      <c r="K784" s="2" t="str">
        <f>HYPERLINK("https://docs.wto.org/imrd/directdoc.asp?DDFDocuments/t/G/SPS/NCHN926.DOC")</f>
        <v>https://docs.wto.org/imrd/directdoc.asp?DDFDocuments/t/G/SPS/NCHN926.DOC</v>
      </c>
      <c r="L784" s="2" t="str">
        <f>HYPERLINK("https://docs.wto.org/imrd/directdoc.asp?DDFDocuments/u/G/SPS/NCHN926.DOC")</f>
        <v>https://docs.wto.org/imrd/directdoc.asp?DDFDocuments/u/G/SPS/NCHN926.DOC</v>
      </c>
      <c r="M784" s="2" t="str">
        <f>HYPERLINK("https://docs.wto.org/imrd/directdoc.asp?DDFDocuments/v/G/SPS/NCHN926.DOC")</f>
        <v>https://docs.wto.org/imrd/directdoc.asp?DDFDocuments/v/G/SPS/NCHN926.DOC</v>
      </c>
      <c r="N784" s="2" t="str">
        <f>HYPERLINK("http://www.epingalert.org/#/details/G/SPS/N/CHN/926")</f>
        <v>http://www.epingalert.org/#/details/G/SPS/N/CHN/926</v>
      </c>
      <c r="O784" s="2"/>
    </row>
    <row r="785" spans="1:15" ht="240" customHeight="1" outlineLevel="1" x14ac:dyDescent="0.25">
      <c r="A785" s="2" t="s">
        <v>380</v>
      </c>
      <c r="B785" s="2" t="s">
        <v>3953</v>
      </c>
      <c r="C785" s="2" t="s">
        <v>3954</v>
      </c>
      <c r="D785" s="2" t="s">
        <v>3955</v>
      </c>
      <c r="E785" s="3">
        <v>42248</v>
      </c>
      <c r="F785" s="2" t="s">
        <v>3956</v>
      </c>
      <c r="G785" s="2"/>
      <c r="H785" s="2" t="s">
        <v>2425</v>
      </c>
      <c r="I785" s="2" t="s">
        <v>2426</v>
      </c>
      <c r="J785" s="3">
        <v>42308</v>
      </c>
      <c r="K785" s="2" t="str">
        <f>HYPERLINK("https://docs.wto.org/imrd/directdoc.asp?DDFDocuments/t/G/SPS/NCHN906.DOC")</f>
        <v>https://docs.wto.org/imrd/directdoc.asp?DDFDocuments/t/G/SPS/NCHN906.DOC</v>
      </c>
      <c r="L785" s="2" t="str">
        <f>HYPERLINK("https://docs.wto.org/imrd/directdoc.asp?DDFDocuments/u/G/SPS/NCHN906.DOC")</f>
        <v>https://docs.wto.org/imrd/directdoc.asp?DDFDocuments/u/G/SPS/NCHN906.DOC</v>
      </c>
      <c r="M785" s="2" t="str">
        <f>HYPERLINK("https://docs.wto.org/imrd/directdoc.asp?DDFDocuments/v/G/SPS/NCHN906.DOC")</f>
        <v>https://docs.wto.org/imrd/directdoc.asp?DDFDocuments/v/G/SPS/NCHN906.DOC</v>
      </c>
      <c r="N785" s="2" t="str">
        <f>HYPERLINK("http://www.epingalert.org/#/details/G/SPS/N/CHN/906")</f>
        <v>http://www.epingalert.org/#/details/G/SPS/N/CHN/906</v>
      </c>
      <c r="O785" s="2"/>
    </row>
    <row r="786" spans="1:15" ht="240" customHeight="1" outlineLevel="1" x14ac:dyDescent="0.25">
      <c r="A786" s="2" t="s">
        <v>380</v>
      </c>
      <c r="B786" s="2" t="s">
        <v>3957</v>
      </c>
      <c r="C786" s="2" t="s">
        <v>3958</v>
      </c>
      <c r="D786" s="2" t="s">
        <v>3959</v>
      </c>
      <c r="E786" s="3">
        <v>42248</v>
      </c>
      <c r="F786" s="2" t="s">
        <v>3960</v>
      </c>
      <c r="G786" s="2"/>
      <c r="H786" s="2" t="s">
        <v>2425</v>
      </c>
      <c r="I786" s="2" t="s">
        <v>2426</v>
      </c>
      <c r="J786" s="3">
        <v>42308</v>
      </c>
      <c r="K786" s="2" t="str">
        <f>HYPERLINK("https://docs.wto.org/imrd/directdoc.asp?DDFDocuments/t/G/SPS/NCHN912.DOC")</f>
        <v>https://docs.wto.org/imrd/directdoc.asp?DDFDocuments/t/G/SPS/NCHN912.DOC</v>
      </c>
      <c r="L786" s="2" t="str">
        <f>HYPERLINK("https://docs.wto.org/imrd/directdoc.asp?DDFDocuments/u/G/SPS/NCHN912.DOC")</f>
        <v>https://docs.wto.org/imrd/directdoc.asp?DDFDocuments/u/G/SPS/NCHN912.DOC</v>
      </c>
      <c r="M786" s="2" t="str">
        <f>HYPERLINK("https://docs.wto.org/imrd/directdoc.asp?DDFDocuments/v/G/SPS/NCHN912.DOC")</f>
        <v>https://docs.wto.org/imrd/directdoc.asp?DDFDocuments/v/G/SPS/NCHN912.DOC</v>
      </c>
      <c r="N786" s="2" t="str">
        <f>HYPERLINK("http://www.epingalert.org/#/details/G/SPS/N/CHN/912")</f>
        <v>http://www.epingalert.org/#/details/G/SPS/N/CHN/912</v>
      </c>
      <c r="O786" s="2"/>
    </row>
    <row r="787" spans="1:15" ht="240" customHeight="1" outlineLevel="1" x14ac:dyDescent="0.25">
      <c r="A787" s="2" t="s">
        <v>380</v>
      </c>
      <c r="B787" s="2" t="s">
        <v>3961</v>
      </c>
      <c r="C787" s="2" t="s">
        <v>3962</v>
      </c>
      <c r="D787" s="2" t="s">
        <v>3963</v>
      </c>
      <c r="E787" s="3">
        <v>42248</v>
      </c>
      <c r="F787" s="2" t="s">
        <v>3964</v>
      </c>
      <c r="G787" s="2"/>
      <c r="H787" s="2" t="s">
        <v>2425</v>
      </c>
      <c r="I787" s="2" t="s">
        <v>2426</v>
      </c>
      <c r="J787" s="3">
        <v>42308</v>
      </c>
      <c r="K787" s="2" t="str">
        <f>HYPERLINK("https://docs.wto.org/imrd/directdoc.asp?DDFDocuments/t/G/SPS/NCHN910.DOC")</f>
        <v>https://docs.wto.org/imrd/directdoc.asp?DDFDocuments/t/G/SPS/NCHN910.DOC</v>
      </c>
      <c r="L787" s="2" t="str">
        <f>HYPERLINK("https://docs.wto.org/imrd/directdoc.asp?DDFDocuments/u/G/SPS/NCHN910.DOC")</f>
        <v>https://docs.wto.org/imrd/directdoc.asp?DDFDocuments/u/G/SPS/NCHN910.DOC</v>
      </c>
      <c r="M787" s="2" t="str">
        <f>HYPERLINK("https://docs.wto.org/imrd/directdoc.asp?DDFDocuments/v/G/SPS/NCHN910.DOC")</f>
        <v>https://docs.wto.org/imrd/directdoc.asp?DDFDocuments/v/G/SPS/NCHN910.DOC</v>
      </c>
      <c r="N787" s="2" t="str">
        <f>HYPERLINK("http://www.epingalert.org/#/details/G/SPS/N/CHN/910")</f>
        <v>http://www.epingalert.org/#/details/G/SPS/N/CHN/910</v>
      </c>
      <c r="O787" s="2"/>
    </row>
    <row r="788" spans="1:15" ht="240" customHeight="1" outlineLevel="1" x14ac:dyDescent="0.25">
      <c r="A788" s="2" t="s">
        <v>380</v>
      </c>
      <c r="B788" s="2" t="s">
        <v>3965</v>
      </c>
      <c r="C788" s="2" t="s">
        <v>3966</v>
      </c>
      <c r="D788" s="2" t="s">
        <v>3967</v>
      </c>
      <c r="E788" s="3">
        <v>42248</v>
      </c>
      <c r="F788" s="2" t="s">
        <v>3968</v>
      </c>
      <c r="G788" s="2"/>
      <c r="H788" s="2" t="s">
        <v>2425</v>
      </c>
      <c r="I788" s="2" t="s">
        <v>2426</v>
      </c>
      <c r="J788" s="3">
        <v>42308</v>
      </c>
      <c r="K788" s="2" t="str">
        <f>HYPERLINK("https://docs.wto.org/imrd/directdoc.asp?DDFDocuments/t/G/SPS/NCHN918.DOC")</f>
        <v>https://docs.wto.org/imrd/directdoc.asp?DDFDocuments/t/G/SPS/NCHN918.DOC</v>
      </c>
      <c r="L788" s="2" t="str">
        <f>HYPERLINK("https://docs.wto.org/imrd/directdoc.asp?DDFDocuments/u/G/SPS/NCHN918.DOC")</f>
        <v>https://docs.wto.org/imrd/directdoc.asp?DDFDocuments/u/G/SPS/NCHN918.DOC</v>
      </c>
      <c r="M788" s="2" t="str">
        <f>HYPERLINK("https://docs.wto.org/imrd/directdoc.asp?DDFDocuments/v/G/SPS/NCHN918.DOC")</f>
        <v>https://docs.wto.org/imrd/directdoc.asp?DDFDocuments/v/G/SPS/NCHN918.DOC</v>
      </c>
      <c r="N788" s="2" t="str">
        <f>HYPERLINK("http://www.epingalert.org/#/details/G/SPS/N/CHN/918")</f>
        <v>http://www.epingalert.org/#/details/G/SPS/N/CHN/918</v>
      </c>
      <c r="O788" s="2"/>
    </row>
    <row r="789" spans="1:15" ht="240" customHeight="1" outlineLevel="1" x14ac:dyDescent="0.25">
      <c r="A789" s="2" t="s">
        <v>380</v>
      </c>
      <c r="B789" s="2" t="s">
        <v>3969</v>
      </c>
      <c r="C789" s="2" t="s">
        <v>3970</v>
      </c>
      <c r="D789" s="2" t="s">
        <v>3971</v>
      </c>
      <c r="E789" s="3">
        <v>42248</v>
      </c>
      <c r="F789" s="2" t="s">
        <v>3972</v>
      </c>
      <c r="G789" s="2"/>
      <c r="H789" s="2" t="s">
        <v>2425</v>
      </c>
      <c r="I789" s="2" t="s">
        <v>2426</v>
      </c>
      <c r="J789" s="3">
        <v>42308</v>
      </c>
      <c r="K789" s="2" t="str">
        <f>HYPERLINK("https://docs.wto.org/imrd/directdoc.asp?DDFDocuments/t/G/SPS/NCHN922.DOC")</f>
        <v>https://docs.wto.org/imrd/directdoc.asp?DDFDocuments/t/G/SPS/NCHN922.DOC</v>
      </c>
      <c r="L789" s="2" t="str">
        <f>HYPERLINK("https://docs.wto.org/imrd/directdoc.asp?DDFDocuments/u/G/SPS/NCHN922.DOC")</f>
        <v>https://docs.wto.org/imrd/directdoc.asp?DDFDocuments/u/G/SPS/NCHN922.DOC</v>
      </c>
      <c r="M789" s="2" t="str">
        <f>HYPERLINK("https://docs.wto.org/imrd/directdoc.asp?DDFDocuments/v/G/SPS/NCHN922.DOC")</f>
        <v>https://docs.wto.org/imrd/directdoc.asp?DDFDocuments/v/G/SPS/NCHN922.DOC</v>
      </c>
      <c r="N789" s="2" t="str">
        <f>HYPERLINK("http://www.epingalert.org/#/details/G/SPS/N/CHN/922")</f>
        <v>http://www.epingalert.org/#/details/G/SPS/N/CHN/922</v>
      </c>
      <c r="O789" s="2"/>
    </row>
    <row r="790" spans="1:15" ht="240" customHeight="1" outlineLevel="1" x14ac:dyDescent="0.25">
      <c r="A790" s="2" t="s">
        <v>380</v>
      </c>
      <c r="B790" s="2" t="s">
        <v>3973</v>
      </c>
      <c r="C790" s="2" t="s">
        <v>3974</v>
      </c>
      <c r="D790" s="2" t="s">
        <v>3975</v>
      </c>
      <c r="E790" s="3">
        <v>42248</v>
      </c>
      <c r="F790" s="2" t="s">
        <v>3976</v>
      </c>
      <c r="G790" s="2"/>
      <c r="H790" s="2" t="s">
        <v>2425</v>
      </c>
      <c r="I790" s="2" t="s">
        <v>2426</v>
      </c>
      <c r="J790" s="3">
        <v>42308</v>
      </c>
      <c r="K790" s="2" t="str">
        <f>HYPERLINK("https://docs.wto.org/imrd/directdoc.asp?DDFDocuments/t/G/SPS/NCHN909.DOC")</f>
        <v>https://docs.wto.org/imrd/directdoc.asp?DDFDocuments/t/G/SPS/NCHN909.DOC</v>
      </c>
      <c r="L790" s="2" t="str">
        <f>HYPERLINK("https://docs.wto.org/imrd/directdoc.asp?DDFDocuments/u/G/SPS/NCHN909.DOC")</f>
        <v>https://docs.wto.org/imrd/directdoc.asp?DDFDocuments/u/G/SPS/NCHN909.DOC</v>
      </c>
      <c r="M790" s="2" t="str">
        <f>HYPERLINK("https://docs.wto.org/imrd/directdoc.asp?DDFDocuments/v/G/SPS/NCHN909.DOC")</f>
        <v>https://docs.wto.org/imrd/directdoc.asp?DDFDocuments/v/G/SPS/NCHN909.DOC</v>
      </c>
      <c r="N790" s="2" t="str">
        <f>HYPERLINK("http://www.epingalert.org/#/details/G/SPS/N/CHN/909")</f>
        <v>http://www.epingalert.org/#/details/G/SPS/N/CHN/909</v>
      </c>
      <c r="O790" s="2"/>
    </row>
    <row r="791" spans="1:15" ht="240" customHeight="1" outlineLevel="1" x14ac:dyDescent="0.25">
      <c r="A791" s="2" t="s">
        <v>380</v>
      </c>
      <c r="B791" s="2" t="s">
        <v>3977</v>
      </c>
      <c r="C791" s="2" t="s">
        <v>3978</v>
      </c>
      <c r="D791" s="2" t="s">
        <v>3979</v>
      </c>
      <c r="E791" s="3">
        <v>42248</v>
      </c>
      <c r="F791" s="2" t="s">
        <v>3980</v>
      </c>
      <c r="G791" s="2"/>
      <c r="H791" s="2" t="s">
        <v>2425</v>
      </c>
      <c r="I791" s="2" t="s">
        <v>2426</v>
      </c>
      <c r="J791" s="3">
        <v>42308</v>
      </c>
      <c r="K791" s="2" t="str">
        <f>HYPERLINK("https://docs.wto.org/imrd/directdoc.asp?DDFDocuments/t/G/SPS/NCHN905.DOC")</f>
        <v>https://docs.wto.org/imrd/directdoc.asp?DDFDocuments/t/G/SPS/NCHN905.DOC</v>
      </c>
      <c r="L791" s="2" t="str">
        <f>HYPERLINK("https://docs.wto.org/imrd/directdoc.asp?DDFDocuments/u/G/SPS/NCHN905.DOC")</f>
        <v>https://docs.wto.org/imrd/directdoc.asp?DDFDocuments/u/G/SPS/NCHN905.DOC</v>
      </c>
      <c r="M791" s="2" t="str">
        <f>HYPERLINK("https://docs.wto.org/imrd/directdoc.asp?DDFDocuments/v/G/SPS/NCHN905.DOC")</f>
        <v>https://docs.wto.org/imrd/directdoc.asp?DDFDocuments/v/G/SPS/NCHN905.DOC</v>
      </c>
      <c r="N791" s="2" t="str">
        <f>HYPERLINK("http://www.epingalert.org/#/details/G/SPS/N/CHN/905")</f>
        <v>http://www.epingalert.org/#/details/G/SPS/N/CHN/905</v>
      </c>
      <c r="O791" s="2"/>
    </row>
    <row r="792" spans="1:15" ht="240" customHeight="1" outlineLevel="1" x14ac:dyDescent="0.25">
      <c r="A792" s="2" t="s">
        <v>380</v>
      </c>
      <c r="B792" s="2" t="s">
        <v>3981</v>
      </c>
      <c r="C792" s="2" t="s">
        <v>3982</v>
      </c>
      <c r="D792" s="2" t="s">
        <v>3983</v>
      </c>
      <c r="E792" s="3">
        <v>42248</v>
      </c>
      <c r="F792" s="2" t="s">
        <v>3984</v>
      </c>
      <c r="G792" s="2"/>
      <c r="H792" s="2" t="s">
        <v>2425</v>
      </c>
      <c r="I792" s="2" t="s">
        <v>2426</v>
      </c>
      <c r="J792" s="3">
        <v>42308</v>
      </c>
      <c r="K792" s="2" t="str">
        <f>HYPERLINK("https://docs.wto.org/imrd/directdoc.asp?DDFDocuments/t/G/SPS/NCHN900.DOC")</f>
        <v>https://docs.wto.org/imrd/directdoc.asp?DDFDocuments/t/G/SPS/NCHN900.DOC</v>
      </c>
      <c r="L792" s="2" t="str">
        <f>HYPERLINK("https://docs.wto.org/imrd/directdoc.asp?DDFDocuments/u/G/SPS/NCHN900.DOC")</f>
        <v>https://docs.wto.org/imrd/directdoc.asp?DDFDocuments/u/G/SPS/NCHN900.DOC</v>
      </c>
      <c r="M792" s="2" t="str">
        <f>HYPERLINK("https://docs.wto.org/imrd/directdoc.asp?DDFDocuments/v/G/SPS/NCHN900.DOC")</f>
        <v>https://docs.wto.org/imrd/directdoc.asp?DDFDocuments/v/G/SPS/NCHN900.DOC</v>
      </c>
      <c r="N792" s="2" t="str">
        <f>HYPERLINK("http://www.epingalert.org/#/details/G/SPS/N/CHN/900")</f>
        <v>http://www.epingalert.org/#/details/G/SPS/N/CHN/900</v>
      </c>
      <c r="O792" s="2"/>
    </row>
    <row r="793" spans="1:15" ht="240" customHeight="1" outlineLevel="1" x14ac:dyDescent="0.25">
      <c r="A793" s="2" t="s">
        <v>380</v>
      </c>
      <c r="B793" s="2" t="s">
        <v>3985</v>
      </c>
      <c r="C793" s="2" t="s">
        <v>3986</v>
      </c>
      <c r="D793" s="2" t="s">
        <v>3987</v>
      </c>
      <c r="E793" s="3">
        <v>42248</v>
      </c>
      <c r="F793" s="2" t="s">
        <v>3988</v>
      </c>
      <c r="G793" s="2"/>
      <c r="H793" s="2" t="s">
        <v>2425</v>
      </c>
      <c r="I793" s="2" t="s">
        <v>2426</v>
      </c>
      <c r="J793" s="3">
        <v>42308</v>
      </c>
      <c r="K793" s="2" t="str">
        <f>HYPERLINK("https://docs.wto.org/imrd/directdoc.asp?DDFDocuments/t/G/SPS/NCHN925.DOC")</f>
        <v>https://docs.wto.org/imrd/directdoc.asp?DDFDocuments/t/G/SPS/NCHN925.DOC</v>
      </c>
      <c r="L793" s="2" t="str">
        <f>HYPERLINK("https://docs.wto.org/imrd/directdoc.asp?DDFDocuments/u/G/SPS/NCHN925.DOC")</f>
        <v>https://docs.wto.org/imrd/directdoc.asp?DDFDocuments/u/G/SPS/NCHN925.DOC</v>
      </c>
      <c r="M793" s="2" t="str">
        <f>HYPERLINK("https://docs.wto.org/imrd/directdoc.asp?DDFDocuments/v/G/SPS/NCHN925.DOC")</f>
        <v>https://docs.wto.org/imrd/directdoc.asp?DDFDocuments/v/G/SPS/NCHN925.DOC</v>
      </c>
      <c r="N793" s="2" t="str">
        <f>HYPERLINK("http://www.epingalert.org/#/details/G/SPS/N/CHN/925")</f>
        <v>http://www.epingalert.org/#/details/G/SPS/N/CHN/925</v>
      </c>
      <c r="O793" s="2"/>
    </row>
    <row r="794" spans="1:15" ht="240" customHeight="1" outlineLevel="1" x14ac:dyDescent="0.25">
      <c r="A794" s="2" t="s">
        <v>380</v>
      </c>
      <c r="B794" s="2" t="s">
        <v>3989</v>
      </c>
      <c r="C794" s="2" t="s">
        <v>3990</v>
      </c>
      <c r="D794" s="2" t="s">
        <v>3991</v>
      </c>
      <c r="E794" s="3">
        <v>42248</v>
      </c>
      <c r="F794" s="2" t="s">
        <v>3992</v>
      </c>
      <c r="G794" s="2"/>
      <c r="H794" s="2" t="s">
        <v>2425</v>
      </c>
      <c r="I794" s="2" t="s">
        <v>2426</v>
      </c>
      <c r="J794" s="3">
        <v>42308</v>
      </c>
      <c r="K794" s="2" t="str">
        <f>HYPERLINK("https://docs.wto.org/imrd/directdoc.asp?DDFDocuments/t/G/SPS/NCHN919.DOC")</f>
        <v>https://docs.wto.org/imrd/directdoc.asp?DDFDocuments/t/G/SPS/NCHN919.DOC</v>
      </c>
      <c r="L794" s="2" t="str">
        <f>HYPERLINK("https://docs.wto.org/imrd/directdoc.asp?DDFDocuments/u/G/SPS/NCHN919.DOC")</f>
        <v>https://docs.wto.org/imrd/directdoc.asp?DDFDocuments/u/G/SPS/NCHN919.DOC</v>
      </c>
      <c r="M794" s="2" t="str">
        <f>HYPERLINK("https://docs.wto.org/imrd/directdoc.asp?DDFDocuments/v/G/SPS/NCHN919.DOC")</f>
        <v>https://docs.wto.org/imrd/directdoc.asp?DDFDocuments/v/G/SPS/NCHN919.DOC</v>
      </c>
      <c r="N794" s="2" t="str">
        <f>HYPERLINK("http://www.epingalert.org/#/details/G/SPS/N/CHN/919")</f>
        <v>http://www.epingalert.org/#/details/G/SPS/N/CHN/919</v>
      </c>
      <c r="O794" s="2"/>
    </row>
    <row r="795" spans="1:15" ht="240" customHeight="1" outlineLevel="1" x14ac:dyDescent="0.25">
      <c r="A795" s="2" t="s">
        <v>380</v>
      </c>
      <c r="B795" s="2" t="s">
        <v>3993</v>
      </c>
      <c r="C795" s="2" t="s">
        <v>3994</v>
      </c>
      <c r="D795" s="2" t="s">
        <v>3995</v>
      </c>
      <c r="E795" s="3">
        <v>42248</v>
      </c>
      <c r="F795" s="2" t="s">
        <v>3996</v>
      </c>
      <c r="G795" s="2"/>
      <c r="H795" s="2" t="s">
        <v>2425</v>
      </c>
      <c r="I795" s="2" t="s">
        <v>2426</v>
      </c>
      <c r="J795" s="3">
        <v>42308</v>
      </c>
      <c r="K795" s="2" t="str">
        <f>HYPERLINK("https://docs.wto.org/imrd/directdoc.asp?DDFDocuments/t/G/SPS/NCHN928.DOC")</f>
        <v>https://docs.wto.org/imrd/directdoc.asp?DDFDocuments/t/G/SPS/NCHN928.DOC</v>
      </c>
      <c r="L795" s="2" t="str">
        <f>HYPERLINK("https://docs.wto.org/imrd/directdoc.asp?DDFDocuments/u/G/SPS/NCHN928.DOC")</f>
        <v>https://docs.wto.org/imrd/directdoc.asp?DDFDocuments/u/G/SPS/NCHN928.DOC</v>
      </c>
      <c r="M795" s="2" t="str">
        <f>HYPERLINK("https://docs.wto.org/imrd/directdoc.asp?DDFDocuments/v/G/SPS/NCHN928.DOC")</f>
        <v>https://docs.wto.org/imrd/directdoc.asp?DDFDocuments/v/G/SPS/NCHN928.DOC</v>
      </c>
      <c r="N795" s="2" t="str">
        <f>HYPERLINK("http://www.epingalert.org/#/details/G/SPS/N/CHN/928")</f>
        <v>http://www.epingalert.org/#/details/G/SPS/N/CHN/928</v>
      </c>
      <c r="O795" s="2"/>
    </row>
    <row r="796" spans="1:15" ht="240" customHeight="1" outlineLevel="1" x14ac:dyDescent="0.25">
      <c r="A796" s="2" t="s">
        <v>380</v>
      </c>
      <c r="B796" s="2" t="s">
        <v>3997</v>
      </c>
      <c r="C796" s="2" t="s">
        <v>3998</v>
      </c>
      <c r="D796" s="2" t="s">
        <v>3999</v>
      </c>
      <c r="E796" s="3">
        <v>42248</v>
      </c>
      <c r="F796" s="2" t="s">
        <v>4000</v>
      </c>
      <c r="G796" s="2"/>
      <c r="H796" s="2" t="s">
        <v>2425</v>
      </c>
      <c r="I796" s="2" t="s">
        <v>2426</v>
      </c>
      <c r="J796" s="3">
        <v>42308</v>
      </c>
      <c r="K796" s="2" t="str">
        <f>HYPERLINK("https://docs.wto.org/imrd/directdoc.asp?DDFDocuments/t/G/SPS/NCHN929.DOC")</f>
        <v>https://docs.wto.org/imrd/directdoc.asp?DDFDocuments/t/G/SPS/NCHN929.DOC</v>
      </c>
      <c r="L796" s="2" t="str">
        <f>HYPERLINK("https://docs.wto.org/imrd/directdoc.asp?DDFDocuments/u/G/SPS/NCHN929.DOC")</f>
        <v>https://docs.wto.org/imrd/directdoc.asp?DDFDocuments/u/G/SPS/NCHN929.DOC</v>
      </c>
      <c r="M796" s="2" t="str">
        <f>HYPERLINK("https://docs.wto.org/imrd/directdoc.asp?DDFDocuments/v/G/SPS/NCHN929.DOC")</f>
        <v>https://docs.wto.org/imrd/directdoc.asp?DDFDocuments/v/G/SPS/NCHN929.DOC</v>
      </c>
      <c r="N796" s="2" t="str">
        <f>HYPERLINK("http://www.epingalert.org/#/details/G/SPS/N/CHN/929")</f>
        <v>http://www.epingalert.org/#/details/G/SPS/N/CHN/929</v>
      </c>
      <c r="O796" s="2"/>
    </row>
    <row r="797" spans="1:15" ht="240" customHeight="1" outlineLevel="1" x14ac:dyDescent="0.25">
      <c r="A797" s="2" t="s">
        <v>380</v>
      </c>
      <c r="B797" s="2" t="s">
        <v>4001</v>
      </c>
      <c r="C797" s="2" t="s">
        <v>4002</v>
      </c>
      <c r="D797" s="2" t="s">
        <v>4003</v>
      </c>
      <c r="E797" s="3">
        <v>42248</v>
      </c>
      <c r="F797" s="2" t="s">
        <v>4004</v>
      </c>
      <c r="G797" s="2"/>
      <c r="H797" s="2" t="s">
        <v>2425</v>
      </c>
      <c r="I797" s="2" t="s">
        <v>2426</v>
      </c>
      <c r="J797" s="3">
        <v>42308</v>
      </c>
      <c r="K797" s="2" t="str">
        <f>HYPERLINK("https://docs.wto.org/imrd/directdoc.asp?DDFDocuments/t/G/SPS/NCHN914.DOC")</f>
        <v>https://docs.wto.org/imrd/directdoc.asp?DDFDocuments/t/G/SPS/NCHN914.DOC</v>
      </c>
      <c r="L797" s="2" t="str">
        <f>HYPERLINK("https://docs.wto.org/imrd/directdoc.asp?DDFDocuments/u/G/SPS/NCHN914.DOC")</f>
        <v>https://docs.wto.org/imrd/directdoc.asp?DDFDocuments/u/G/SPS/NCHN914.DOC</v>
      </c>
      <c r="M797" s="2" t="str">
        <f>HYPERLINK("https://docs.wto.org/imrd/directdoc.asp?DDFDocuments/v/G/SPS/NCHN914.DOC")</f>
        <v>https://docs.wto.org/imrd/directdoc.asp?DDFDocuments/v/G/SPS/NCHN914.DOC</v>
      </c>
      <c r="N797" s="2" t="str">
        <f>HYPERLINK("http://www.epingalert.org/#/details/G/SPS/N/CHN/914")</f>
        <v>http://www.epingalert.org/#/details/G/SPS/N/CHN/914</v>
      </c>
      <c r="O797" s="2"/>
    </row>
    <row r="798" spans="1:15" ht="240" customHeight="1" outlineLevel="1" x14ac:dyDescent="0.25">
      <c r="A798" s="2" t="s">
        <v>380</v>
      </c>
      <c r="B798" s="2" t="s">
        <v>4005</v>
      </c>
      <c r="C798" s="2" t="s">
        <v>4006</v>
      </c>
      <c r="D798" s="2" t="s">
        <v>4007</v>
      </c>
      <c r="E798" s="3">
        <v>42248</v>
      </c>
      <c r="F798" s="2" t="s">
        <v>4008</v>
      </c>
      <c r="G798" s="2"/>
      <c r="H798" s="2" t="s">
        <v>2425</v>
      </c>
      <c r="I798" s="2" t="s">
        <v>2426</v>
      </c>
      <c r="J798" s="3">
        <v>42308</v>
      </c>
      <c r="K798" s="2" t="str">
        <f>HYPERLINK("https://docs.wto.org/imrd/directdoc.asp?DDFDocuments/t/G/SPS/NCHN901.DOC")</f>
        <v>https://docs.wto.org/imrd/directdoc.asp?DDFDocuments/t/G/SPS/NCHN901.DOC</v>
      </c>
      <c r="L798" s="2" t="str">
        <f>HYPERLINK("https://docs.wto.org/imrd/directdoc.asp?DDFDocuments/u/G/SPS/NCHN901.DOC")</f>
        <v>https://docs.wto.org/imrd/directdoc.asp?DDFDocuments/u/G/SPS/NCHN901.DOC</v>
      </c>
      <c r="M798" s="2" t="str">
        <f>HYPERLINK("https://docs.wto.org/imrd/directdoc.asp?DDFDocuments/v/G/SPS/NCHN901.DOC")</f>
        <v>https://docs.wto.org/imrd/directdoc.asp?DDFDocuments/v/G/SPS/NCHN901.DOC</v>
      </c>
      <c r="N798" s="2" t="str">
        <f>HYPERLINK("http://www.epingalert.org/#/details/G/SPS/N/CHN/901")</f>
        <v>http://www.epingalert.org/#/details/G/SPS/N/CHN/901</v>
      </c>
      <c r="O798" s="2"/>
    </row>
    <row r="799" spans="1:15" ht="240" customHeight="1" outlineLevel="1" x14ac:dyDescent="0.25">
      <c r="A799" s="2" t="s">
        <v>380</v>
      </c>
      <c r="B799" s="2" t="s">
        <v>4009</v>
      </c>
      <c r="C799" s="2" t="s">
        <v>4010</v>
      </c>
      <c r="D799" s="2" t="s">
        <v>4011</v>
      </c>
      <c r="E799" s="3">
        <v>42248</v>
      </c>
      <c r="F799" s="2" t="s">
        <v>4012</v>
      </c>
      <c r="G799" s="2"/>
      <c r="H799" s="2" t="s">
        <v>2425</v>
      </c>
      <c r="I799" s="2" t="s">
        <v>2426</v>
      </c>
      <c r="J799" s="3">
        <v>42308</v>
      </c>
      <c r="K799" s="2" t="str">
        <f>HYPERLINK("https://docs.wto.org/imrd/directdoc.asp?DDFDocuments/t/G/SPS/NCHN916.DOC")</f>
        <v>https://docs.wto.org/imrd/directdoc.asp?DDFDocuments/t/G/SPS/NCHN916.DOC</v>
      </c>
      <c r="L799" s="2" t="str">
        <f>HYPERLINK("https://docs.wto.org/imrd/directdoc.asp?DDFDocuments/u/G/SPS/NCHN916.DOC")</f>
        <v>https://docs.wto.org/imrd/directdoc.asp?DDFDocuments/u/G/SPS/NCHN916.DOC</v>
      </c>
      <c r="M799" s="2" t="str">
        <f>HYPERLINK("https://docs.wto.org/imrd/directdoc.asp?DDFDocuments/v/G/SPS/NCHN916.DOC")</f>
        <v>https://docs.wto.org/imrd/directdoc.asp?DDFDocuments/v/G/SPS/NCHN916.DOC</v>
      </c>
      <c r="N799" s="2" t="str">
        <f>HYPERLINK("http://www.epingalert.org/#/details/G/SPS/N/CHN/916")</f>
        <v>http://www.epingalert.org/#/details/G/SPS/N/CHN/916</v>
      </c>
      <c r="O799" s="2"/>
    </row>
    <row r="800" spans="1:15" ht="240" customHeight="1" outlineLevel="1" x14ac:dyDescent="0.25">
      <c r="A800" s="2" t="s">
        <v>380</v>
      </c>
      <c r="B800" s="2" t="s">
        <v>4013</v>
      </c>
      <c r="C800" s="2" t="s">
        <v>4014</v>
      </c>
      <c r="D800" s="2" t="s">
        <v>4015</v>
      </c>
      <c r="E800" s="3">
        <v>42248</v>
      </c>
      <c r="F800" s="2" t="s">
        <v>4016</v>
      </c>
      <c r="G800" s="2"/>
      <c r="H800" s="2" t="s">
        <v>2425</v>
      </c>
      <c r="I800" s="2" t="s">
        <v>2426</v>
      </c>
      <c r="J800" s="3">
        <v>42308</v>
      </c>
      <c r="K800" s="2" t="str">
        <f>HYPERLINK("https://docs.wto.org/imrd/directdoc.asp?DDFDocuments/t/G/SPS/NCHN917.DOC")</f>
        <v>https://docs.wto.org/imrd/directdoc.asp?DDFDocuments/t/G/SPS/NCHN917.DOC</v>
      </c>
      <c r="L800" s="2" t="str">
        <f>HYPERLINK("https://docs.wto.org/imrd/directdoc.asp?DDFDocuments/u/G/SPS/NCHN917.DOC")</f>
        <v>https://docs.wto.org/imrd/directdoc.asp?DDFDocuments/u/G/SPS/NCHN917.DOC</v>
      </c>
      <c r="M800" s="2" t="str">
        <f>HYPERLINK("https://docs.wto.org/imrd/directdoc.asp?DDFDocuments/v/G/SPS/NCHN917.DOC")</f>
        <v>https://docs.wto.org/imrd/directdoc.asp?DDFDocuments/v/G/SPS/NCHN917.DOC</v>
      </c>
      <c r="N800" s="2" t="str">
        <f>HYPERLINK("http://www.epingalert.org/#/details/G/SPS/N/CHN/917")</f>
        <v>http://www.epingalert.org/#/details/G/SPS/N/CHN/917</v>
      </c>
      <c r="O800" s="2"/>
    </row>
    <row r="801" spans="1:15" ht="240" customHeight="1" outlineLevel="1" x14ac:dyDescent="0.25">
      <c r="A801" s="2" t="s">
        <v>380</v>
      </c>
      <c r="B801" s="2" t="s">
        <v>4017</v>
      </c>
      <c r="C801" s="2" t="s">
        <v>4018</v>
      </c>
      <c r="D801" s="2" t="s">
        <v>4019</v>
      </c>
      <c r="E801" s="3">
        <v>42248</v>
      </c>
      <c r="F801" s="2" t="s">
        <v>4020</v>
      </c>
      <c r="G801" s="2"/>
      <c r="H801" s="2" t="s">
        <v>2425</v>
      </c>
      <c r="I801" s="2" t="s">
        <v>2426</v>
      </c>
      <c r="J801" s="3">
        <v>42308</v>
      </c>
      <c r="K801" s="2" t="str">
        <f>HYPERLINK("https://docs.wto.org/imrd/directdoc.asp?DDFDocuments/t/G/SPS/NCHN907.DOC")</f>
        <v>https://docs.wto.org/imrd/directdoc.asp?DDFDocuments/t/G/SPS/NCHN907.DOC</v>
      </c>
      <c r="L801" s="2" t="str">
        <f>HYPERLINK("https://docs.wto.org/imrd/directdoc.asp?DDFDocuments/u/G/SPS/NCHN907.DOC")</f>
        <v>https://docs.wto.org/imrd/directdoc.asp?DDFDocuments/u/G/SPS/NCHN907.DOC</v>
      </c>
      <c r="M801" s="2" t="str">
        <f>HYPERLINK("https://docs.wto.org/imrd/directdoc.asp?DDFDocuments/v/G/SPS/NCHN907.DOC")</f>
        <v>https://docs.wto.org/imrd/directdoc.asp?DDFDocuments/v/G/SPS/NCHN907.DOC</v>
      </c>
      <c r="N801" s="2" t="str">
        <f>HYPERLINK("http://www.epingalert.org/#/details/G/SPS/N/CHN/907")</f>
        <v>http://www.epingalert.org/#/details/G/SPS/N/CHN/907</v>
      </c>
      <c r="O801" s="2"/>
    </row>
    <row r="802" spans="1:15" ht="240" customHeight="1" outlineLevel="1" x14ac:dyDescent="0.25">
      <c r="A802" s="2" t="s">
        <v>380</v>
      </c>
      <c r="B802" s="2" t="s">
        <v>4021</v>
      </c>
      <c r="C802" s="2" t="s">
        <v>4022</v>
      </c>
      <c r="D802" s="2" t="s">
        <v>4023</v>
      </c>
      <c r="E802" s="3">
        <v>42248</v>
      </c>
      <c r="F802" s="2" t="s">
        <v>4024</v>
      </c>
      <c r="G802" s="2"/>
      <c r="H802" s="2" t="s">
        <v>2425</v>
      </c>
      <c r="I802" s="2" t="s">
        <v>2426</v>
      </c>
      <c r="J802" s="3">
        <v>42308</v>
      </c>
      <c r="K802" s="2" t="str">
        <f>HYPERLINK("https://docs.wto.org/imrd/directdoc.asp?DDFDocuments/t/G/SPS/NCHN908.DOC")</f>
        <v>https://docs.wto.org/imrd/directdoc.asp?DDFDocuments/t/G/SPS/NCHN908.DOC</v>
      </c>
      <c r="L802" s="2" t="str">
        <f>HYPERLINK("https://docs.wto.org/imrd/directdoc.asp?DDFDocuments/u/G/SPS/NCHN908.DOC")</f>
        <v>https://docs.wto.org/imrd/directdoc.asp?DDFDocuments/u/G/SPS/NCHN908.DOC</v>
      </c>
      <c r="M802" s="2" t="str">
        <f>HYPERLINK("https://docs.wto.org/imrd/directdoc.asp?DDFDocuments/v/G/SPS/NCHN908.DOC")</f>
        <v>https://docs.wto.org/imrd/directdoc.asp?DDFDocuments/v/G/SPS/NCHN908.DOC</v>
      </c>
      <c r="N802" s="2" t="str">
        <f>HYPERLINK("http://www.epingalert.org/#/details/G/SPS/N/CHN/908")</f>
        <v>http://www.epingalert.org/#/details/G/SPS/N/CHN/908</v>
      </c>
      <c r="O802" s="2"/>
    </row>
    <row r="803" spans="1:15" ht="240" customHeight="1" outlineLevel="1" x14ac:dyDescent="0.25">
      <c r="A803" s="2" t="s">
        <v>380</v>
      </c>
      <c r="B803" s="2" t="s">
        <v>4025</v>
      </c>
      <c r="C803" s="2" t="s">
        <v>4026</v>
      </c>
      <c r="D803" s="2" t="s">
        <v>4027</v>
      </c>
      <c r="E803" s="3">
        <v>42248</v>
      </c>
      <c r="F803" s="2" t="s">
        <v>4028</v>
      </c>
      <c r="G803" s="2"/>
      <c r="H803" s="2" t="s">
        <v>2425</v>
      </c>
      <c r="I803" s="2" t="s">
        <v>2426</v>
      </c>
      <c r="J803" s="3">
        <v>42308</v>
      </c>
      <c r="K803" s="2" t="str">
        <f>HYPERLINK("https://docs.wto.org/imrd/directdoc.asp?DDFDocuments/t/G/SPS/NCHN902.DOC")</f>
        <v>https://docs.wto.org/imrd/directdoc.asp?DDFDocuments/t/G/SPS/NCHN902.DOC</v>
      </c>
      <c r="L803" s="2" t="str">
        <f>HYPERLINK("https://docs.wto.org/imrd/directdoc.asp?DDFDocuments/u/G/SPS/NCHN902.DOC")</f>
        <v>https://docs.wto.org/imrd/directdoc.asp?DDFDocuments/u/G/SPS/NCHN902.DOC</v>
      </c>
      <c r="M803" s="2" t="str">
        <f>HYPERLINK("https://docs.wto.org/imrd/directdoc.asp?DDFDocuments/v/G/SPS/NCHN902.DOC")</f>
        <v>https://docs.wto.org/imrd/directdoc.asp?DDFDocuments/v/G/SPS/NCHN902.DOC</v>
      </c>
      <c r="N803" s="2" t="str">
        <f>HYPERLINK("http://www.epingalert.org/#/details/G/SPS/N/CHN/902")</f>
        <v>http://www.epingalert.org/#/details/G/SPS/N/CHN/902</v>
      </c>
      <c r="O803" s="2"/>
    </row>
    <row r="804" spans="1:15" ht="240" customHeight="1" outlineLevel="1" x14ac:dyDescent="0.25">
      <c r="A804" s="2" t="s">
        <v>380</v>
      </c>
      <c r="B804" s="2" t="s">
        <v>4029</v>
      </c>
      <c r="C804" s="2" t="s">
        <v>4030</v>
      </c>
      <c r="D804" s="2" t="s">
        <v>4031</v>
      </c>
      <c r="E804" s="3">
        <v>42248</v>
      </c>
      <c r="F804" s="2" t="s">
        <v>4032</v>
      </c>
      <c r="G804" s="2"/>
      <c r="H804" s="2" t="s">
        <v>2425</v>
      </c>
      <c r="I804" s="2" t="s">
        <v>2426</v>
      </c>
      <c r="J804" s="3">
        <v>42308</v>
      </c>
      <c r="K804" s="2" t="str">
        <f>HYPERLINK("https://docs.wto.org/imrd/directdoc.asp?DDFDocuments/t/G/SPS/NCHN903.DOC")</f>
        <v>https://docs.wto.org/imrd/directdoc.asp?DDFDocuments/t/G/SPS/NCHN903.DOC</v>
      </c>
      <c r="L804" s="2" t="str">
        <f>HYPERLINK("https://docs.wto.org/imrd/directdoc.asp?DDFDocuments/u/G/SPS/NCHN903.DOC")</f>
        <v>https://docs.wto.org/imrd/directdoc.asp?DDFDocuments/u/G/SPS/NCHN903.DOC</v>
      </c>
      <c r="M804" s="2" t="str">
        <f>HYPERLINK("https://docs.wto.org/imrd/directdoc.asp?DDFDocuments/v/G/SPS/NCHN903.DOC")</f>
        <v>https://docs.wto.org/imrd/directdoc.asp?DDFDocuments/v/G/SPS/NCHN903.DOC</v>
      </c>
      <c r="N804" s="2" t="str">
        <f>HYPERLINK("http://www.epingalert.org/#/details/G/SPS/N/CHN/903")</f>
        <v>http://www.epingalert.org/#/details/G/SPS/N/CHN/903</v>
      </c>
      <c r="O804" s="2"/>
    </row>
    <row r="805" spans="1:15" ht="240" customHeight="1" outlineLevel="1" x14ac:dyDescent="0.25">
      <c r="A805" s="2" t="s">
        <v>380</v>
      </c>
      <c r="B805" s="2" t="s">
        <v>4033</v>
      </c>
      <c r="C805" s="2" t="s">
        <v>4034</v>
      </c>
      <c r="D805" s="2" t="s">
        <v>4035</v>
      </c>
      <c r="E805" s="3">
        <v>42247</v>
      </c>
      <c r="F805" s="2" t="s">
        <v>4036</v>
      </c>
      <c r="G805" s="2"/>
      <c r="H805" s="2" t="s">
        <v>2425</v>
      </c>
      <c r="I805" s="2" t="s">
        <v>2426</v>
      </c>
      <c r="J805" s="3">
        <v>42307</v>
      </c>
      <c r="K805" s="2" t="str">
        <f>HYPERLINK("https://docs.wto.org/imrd/directdoc.asp?DDFDocuments/t/G/SPS/NCHN899.DOC")</f>
        <v>https://docs.wto.org/imrd/directdoc.asp?DDFDocuments/t/G/SPS/NCHN899.DOC</v>
      </c>
      <c r="L805" s="2" t="str">
        <f>HYPERLINK("https://docs.wto.org/imrd/directdoc.asp?DDFDocuments/u/G/SPS/NCHN899.DOC")</f>
        <v>https://docs.wto.org/imrd/directdoc.asp?DDFDocuments/u/G/SPS/NCHN899.DOC</v>
      </c>
      <c r="M805" s="2" t="str">
        <f>HYPERLINK("https://docs.wto.org/imrd/directdoc.asp?DDFDocuments/v/G/SPS/NCHN899.DOC")</f>
        <v>https://docs.wto.org/imrd/directdoc.asp?DDFDocuments/v/G/SPS/NCHN899.DOC</v>
      </c>
      <c r="N805" s="2" t="str">
        <f>HYPERLINK("http://www.epingalert.org/#/details/G/SPS/N/CHN/899")</f>
        <v>http://www.epingalert.org/#/details/G/SPS/N/CHN/899</v>
      </c>
      <c r="O805" s="2"/>
    </row>
    <row r="806" spans="1:15" ht="240" customHeight="1" outlineLevel="1" x14ac:dyDescent="0.25">
      <c r="A806" s="2" t="s">
        <v>380</v>
      </c>
      <c r="B806" s="2" t="s">
        <v>4037</v>
      </c>
      <c r="C806" s="2" t="s">
        <v>4038</v>
      </c>
      <c r="D806" s="2" t="s">
        <v>4039</v>
      </c>
      <c r="E806" s="3">
        <v>42247</v>
      </c>
      <c r="F806" s="2" t="s">
        <v>4040</v>
      </c>
      <c r="G806" s="2"/>
      <c r="H806" s="2" t="s">
        <v>2425</v>
      </c>
      <c r="I806" s="2" t="s">
        <v>2426</v>
      </c>
      <c r="J806" s="3">
        <v>42307</v>
      </c>
      <c r="K806" s="2" t="str">
        <f>HYPERLINK("https://docs.wto.org/imrd/directdoc.asp?DDFDocuments/t/G/SPS/NCHN898.DOC")</f>
        <v>https://docs.wto.org/imrd/directdoc.asp?DDFDocuments/t/G/SPS/NCHN898.DOC</v>
      </c>
      <c r="L806" s="2" t="str">
        <f>HYPERLINK("https://docs.wto.org/imrd/directdoc.asp?DDFDocuments/u/G/SPS/NCHN898.DOC")</f>
        <v>https://docs.wto.org/imrd/directdoc.asp?DDFDocuments/u/G/SPS/NCHN898.DOC</v>
      </c>
      <c r="M806" s="2" t="str">
        <f>HYPERLINK("https://docs.wto.org/imrd/directdoc.asp?DDFDocuments/v/G/SPS/NCHN898.DOC")</f>
        <v>https://docs.wto.org/imrd/directdoc.asp?DDFDocuments/v/G/SPS/NCHN898.DOC</v>
      </c>
      <c r="N806" s="2" t="str">
        <f>HYPERLINK("http://www.epingalert.org/#/details/G/SPS/N/CHN/898")</f>
        <v>http://www.epingalert.org/#/details/G/SPS/N/CHN/898</v>
      </c>
      <c r="O806" s="2"/>
    </row>
    <row r="807" spans="1:15" ht="240" customHeight="1" outlineLevel="1" x14ac:dyDescent="0.25">
      <c r="A807" s="2" t="s">
        <v>380</v>
      </c>
      <c r="B807" s="2" t="s">
        <v>4041</v>
      </c>
      <c r="C807" s="2" t="s">
        <v>4042</v>
      </c>
      <c r="D807" s="2" t="s">
        <v>4043</v>
      </c>
      <c r="E807" s="3">
        <v>42247</v>
      </c>
      <c r="F807" s="2" t="s">
        <v>4044</v>
      </c>
      <c r="G807" s="2"/>
      <c r="H807" s="2" t="s">
        <v>2425</v>
      </c>
      <c r="I807" s="2" t="s">
        <v>2426</v>
      </c>
      <c r="J807" s="3">
        <v>42307</v>
      </c>
      <c r="K807" s="2" t="str">
        <f>HYPERLINK("https://docs.wto.org/imrd/directdoc.asp?DDFDocuments/t/G/SPS/NCHN897.DOC")</f>
        <v>https://docs.wto.org/imrd/directdoc.asp?DDFDocuments/t/G/SPS/NCHN897.DOC</v>
      </c>
      <c r="L807" s="2" t="str">
        <f>HYPERLINK("https://docs.wto.org/imrd/directdoc.asp?DDFDocuments/u/G/SPS/NCHN897.DOC")</f>
        <v>https://docs.wto.org/imrd/directdoc.asp?DDFDocuments/u/G/SPS/NCHN897.DOC</v>
      </c>
      <c r="M807" s="2" t="str">
        <f>HYPERLINK("https://docs.wto.org/imrd/directdoc.asp?DDFDocuments/v/G/SPS/NCHN897.DOC")</f>
        <v>https://docs.wto.org/imrd/directdoc.asp?DDFDocuments/v/G/SPS/NCHN897.DOC</v>
      </c>
      <c r="N807" s="2" t="str">
        <f>HYPERLINK("http://www.epingalert.org/#/details/G/SPS/N/CHN/897")</f>
        <v>http://www.epingalert.org/#/details/G/SPS/N/CHN/897</v>
      </c>
      <c r="O807" s="2"/>
    </row>
    <row r="808" spans="1:15" ht="240" customHeight="1" outlineLevel="1" x14ac:dyDescent="0.25">
      <c r="A808" s="2" t="s">
        <v>380</v>
      </c>
      <c r="B808" s="2" t="s">
        <v>4045</v>
      </c>
      <c r="C808" s="2" t="s">
        <v>4046</v>
      </c>
      <c r="D808" s="2" t="s">
        <v>4047</v>
      </c>
      <c r="E808" s="3">
        <v>42247</v>
      </c>
      <c r="F808" s="2" t="s">
        <v>4048</v>
      </c>
      <c r="G808" s="2"/>
      <c r="H808" s="2" t="s">
        <v>2425</v>
      </c>
      <c r="I808" s="2" t="s">
        <v>2426</v>
      </c>
      <c r="J808" s="3">
        <v>42307</v>
      </c>
      <c r="K808" s="2" t="str">
        <f>HYPERLINK("https://docs.wto.org/imrd/directdoc.asp?DDFDocuments/t/G/SPS/NCHN896.DOC")</f>
        <v>https://docs.wto.org/imrd/directdoc.asp?DDFDocuments/t/G/SPS/NCHN896.DOC</v>
      </c>
      <c r="L808" s="2" t="str">
        <f>HYPERLINK("https://docs.wto.org/imrd/directdoc.asp?DDFDocuments/u/G/SPS/NCHN896.DOC")</f>
        <v>https://docs.wto.org/imrd/directdoc.asp?DDFDocuments/u/G/SPS/NCHN896.DOC</v>
      </c>
      <c r="M808" s="2" t="str">
        <f>HYPERLINK("https://docs.wto.org/imrd/directdoc.asp?DDFDocuments/v/G/SPS/NCHN896.DOC")</f>
        <v>https://docs.wto.org/imrd/directdoc.asp?DDFDocuments/v/G/SPS/NCHN896.DOC</v>
      </c>
      <c r="N808" s="2" t="str">
        <f>HYPERLINK("http://www.epingalert.org/#/details/G/SPS/N/CHN/896")</f>
        <v>http://www.epingalert.org/#/details/G/SPS/N/CHN/896</v>
      </c>
      <c r="O808" s="2"/>
    </row>
    <row r="809" spans="1:15" ht="240" customHeight="1" outlineLevel="1" x14ac:dyDescent="0.25">
      <c r="A809" s="2" t="s">
        <v>380</v>
      </c>
      <c r="B809" s="2" t="s">
        <v>4049</v>
      </c>
      <c r="C809" s="2" t="s">
        <v>4050</v>
      </c>
      <c r="D809" s="2" t="s">
        <v>4051</v>
      </c>
      <c r="E809" s="3">
        <v>42247</v>
      </c>
      <c r="F809" s="2" t="s">
        <v>4052</v>
      </c>
      <c r="G809" s="2"/>
      <c r="H809" s="2" t="s">
        <v>2425</v>
      </c>
      <c r="I809" s="2" t="s">
        <v>2426</v>
      </c>
      <c r="J809" s="3">
        <v>42307</v>
      </c>
      <c r="K809" s="2" t="str">
        <f>HYPERLINK("https://docs.wto.org/imrd/directdoc.asp?DDFDocuments/t/G/SPS/NCHN895.DOC")</f>
        <v>https://docs.wto.org/imrd/directdoc.asp?DDFDocuments/t/G/SPS/NCHN895.DOC</v>
      </c>
      <c r="L809" s="2" t="str">
        <f>HYPERLINK("https://docs.wto.org/imrd/directdoc.asp?DDFDocuments/u/G/SPS/NCHN895.DOC")</f>
        <v>https://docs.wto.org/imrd/directdoc.asp?DDFDocuments/u/G/SPS/NCHN895.DOC</v>
      </c>
      <c r="M809" s="2" t="str">
        <f>HYPERLINK("https://docs.wto.org/imrd/directdoc.asp?DDFDocuments/v/G/SPS/NCHN895.DOC")</f>
        <v>https://docs.wto.org/imrd/directdoc.asp?DDFDocuments/v/G/SPS/NCHN895.DOC</v>
      </c>
      <c r="N809" s="2" t="str">
        <f>HYPERLINK("http://www.epingalert.org/#/details/G/SPS/N/CHN/895")</f>
        <v>http://www.epingalert.org/#/details/G/SPS/N/CHN/895</v>
      </c>
      <c r="O809" s="2"/>
    </row>
    <row r="810" spans="1:15" ht="240" customHeight="1" outlineLevel="1" x14ac:dyDescent="0.25">
      <c r="A810" s="2" t="s">
        <v>380</v>
      </c>
      <c r="B810" s="2" t="s">
        <v>4053</v>
      </c>
      <c r="C810" s="2" t="s">
        <v>4054</v>
      </c>
      <c r="D810" s="2" t="s">
        <v>4055</v>
      </c>
      <c r="E810" s="3">
        <v>42247</v>
      </c>
      <c r="F810" s="2" t="s">
        <v>4056</v>
      </c>
      <c r="G810" s="2"/>
      <c r="H810" s="2" t="s">
        <v>2425</v>
      </c>
      <c r="I810" s="2" t="s">
        <v>2426</v>
      </c>
      <c r="J810" s="3">
        <v>42307</v>
      </c>
      <c r="K810" s="2" t="str">
        <f>HYPERLINK("https://docs.wto.org/imrd/directdoc.asp?DDFDocuments/t/G/SPS/NCHN894.DOC")</f>
        <v>https://docs.wto.org/imrd/directdoc.asp?DDFDocuments/t/G/SPS/NCHN894.DOC</v>
      </c>
      <c r="L810" s="2" t="str">
        <f>HYPERLINK("https://docs.wto.org/imrd/directdoc.asp?DDFDocuments/u/G/SPS/NCHN894.DOC")</f>
        <v>https://docs.wto.org/imrd/directdoc.asp?DDFDocuments/u/G/SPS/NCHN894.DOC</v>
      </c>
      <c r="M810" s="2" t="str">
        <f>HYPERLINK("https://docs.wto.org/imrd/directdoc.asp?DDFDocuments/v/G/SPS/NCHN894.DOC")</f>
        <v>https://docs.wto.org/imrd/directdoc.asp?DDFDocuments/v/G/SPS/NCHN894.DOC</v>
      </c>
      <c r="N810" s="2" t="str">
        <f>HYPERLINK("http://www.epingalert.org/#/details/G/SPS/N/CHN/894")</f>
        <v>http://www.epingalert.org/#/details/G/SPS/N/CHN/894</v>
      </c>
      <c r="O810" s="2"/>
    </row>
    <row r="811" spans="1:15" ht="240" customHeight="1" outlineLevel="1" x14ac:dyDescent="0.25">
      <c r="A811" s="2" t="s">
        <v>380</v>
      </c>
      <c r="B811" s="2" t="s">
        <v>4057</v>
      </c>
      <c r="C811" s="2" t="s">
        <v>4058</v>
      </c>
      <c r="D811" s="2" t="s">
        <v>4059</v>
      </c>
      <c r="E811" s="3">
        <v>42247</v>
      </c>
      <c r="F811" s="2" t="s">
        <v>4060</v>
      </c>
      <c r="G811" s="2"/>
      <c r="H811" s="2" t="s">
        <v>2425</v>
      </c>
      <c r="I811" s="2" t="s">
        <v>2426</v>
      </c>
      <c r="J811" s="3">
        <v>42307</v>
      </c>
      <c r="K811" s="2" t="str">
        <f>HYPERLINK("https://docs.wto.org/imrd/directdoc.asp?DDFDocuments/t/G/SPS/NCHN893.DOC")</f>
        <v>https://docs.wto.org/imrd/directdoc.asp?DDFDocuments/t/G/SPS/NCHN893.DOC</v>
      </c>
      <c r="L811" s="2" t="str">
        <f>HYPERLINK("https://docs.wto.org/imrd/directdoc.asp?DDFDocuments/u/G/SPS/NCHN893.DOC")</f>
        <v>https://docs.wto.org/imrd/directdoc.asp?DDFDocuments/u/G/SPS/NCHN893.DOC</v>
      </c>
      <c r="M811" s="2" t="str">
        <f>HYPERLINK("https://docs.wto.org/imrd/directdoc.asp?DDFDocuments/v/G/SPS/NCHN893.DOC")</f>
        <v>https://docs.wto.org/imrd/directdoc.asp?DDFDocuments/v/G/SPS/NCHN893.DOC</v>
      </c>
      <c r="N811" s="2" t="str">
        <f>HYPERLINK("http://www.epingalert.org/#/details/G/SPS/N/CHN/893")</f>
        <v>http://www.epingalert.org/#/details/G/SPS/N/CHN/893</v>
      </c>
      <c r="O811" s="2"/>
    </row>
    <row r="812" spans="1:15" ht="240" customHeight="1" outlineLevel="1" x14ac:dyDescent="0.25">
      <c r="A812" s="2" t="s">
        <v>380</v>
      </c>
      <c r="B812" s="2" t="s">
        <v>4061</v>
      </c>
      <c r="C812" s="2" t="s">
        <v>4062</v>
      </c>
      <c r="D812" s="2" t="s">
        <v>4063</v>
      </c>
      <c r="E812" s="3">
        <v>42247</v>
      </c>
      <c r="F812" s="2" t="s">
        <v>4064</v>
      </c>
      <c r="G812" s="2"/>
      <c r="H812" s="2" t="s">
        <v>2425</v>
      </c>
      <c r="I812" s="2" t="s">
        <v>2426</v>
      </c>
      <c r="J812" s="3">
        <v>42307</v>
      </c>
      <c r="K812" s="2" t="str">
        <f>HYPERLINK("https://docs.wto.org/imrd/directdoc.asp?DDFDocuments/t/G/SPS/NCHN892.DOC")</f>
        <v>https://docs.wto.org/imrd/directdoc.asp?DDFDocuments/t/G/SPS/NCHN892.DOC</v>
      </c>
      <c r="L812" s="2" t="str">
        <f>HYPERLINK("https://docs.wto.org/imrd/directdoc.asp?DDFDocuments/u/G/SPS/NCHN892.DOC")</f>
        <v>https://docs.wto.org/imrd/directdoc.asp?DDFDocuments/u/G/SPS/NCHN892.DOC</v>
      </c>
      <c r="M812" s="2" t="str">
        <f>HYPERLINK("https://docs.wto.org/imrd/directdoc.asp?DDFDocuments/v/G/SPS/NCHN892.DOC")</f>
        <v>https://docs.wto.org/imrd/directdoc.asp?DDFDocuments/v/G/SPS/NCHN892.DOC</v>
      </c>
      <c r="N812" s="2" t="str">
        <f>HYPERLINK("http://www.epingalert.org/#/details/G/SPS/N/CHN/892")</f>
        <v>http://www.epingalert.org/#/details/G/SPS/N/CHN/892</v>
      </c>
      <c r="O812" s="2"/>
    </row>
    <row r="813" spans="1:15" ht="240" customHeight="1" outlineLevel="1" x14ac:dyDescent="0.25">
      <c r="A813" s="2" t="s">
        <v>380</v>
      </c>
      <c r="B813" s="2" t="s">
        <v>4065</v>
      </c>
      <c r="C813" s="2" t="s">
        <v>4066</v>
      </c>
      <c r="D813" s="2" t="s">
        <v>4067</v>
      </c>
      <c r="E813" s="3">
        <v>42247</v>
      </c>
      <c r="F813" s="2" t="s">
        <v>4068</v>
      </c>
      <c r="G813" s="2"/>
      <c r="H813" s="2" t="s">
        <v>2425</v>
      </c>
      <c r="I813" s="2" t="s">
        <v>2426</v>
      </c>
      <c r="J813" s="3">
        <v>42307</v>
      </c>
      <c r="K813" s="2" t="str">
        <f>HYPERLINK("https://docs.wto.org/imrd/directdoc.asp?DDFDocuments/t/G/SPS/NCHN891.DOC")</f>
        <v>https://docs.wto.org/imrd/directdoc.asp?DDFDocuments/t/G/SPS/NCHN891.DOC</v>
      </c>
      <c r="L813" s="2" t="str">
        <f>HYPERLINK("https://docs.wto.org/imrd/directdoc.asp?DDFDocuments/u/G/SPS/NCHN891.DOC")</f>
        <v>https://docs.wto.org/imrd/directdoc.asp?DDFDocuments/u/G/SPS/NCHN891.DOC</v>
      </c>
      <c r="M813" s="2" t="str">
        <f>HYPERLINK("https://docs.wto.org/imrd/directdoc.asp?DDFDocuments/v/G/SPS/NCHN891.DOC")</f>
        <v>https://docs.wto.org/imrd/directdoc.asp?DDFDocuments/v/G/SPS/NCHN891.DOC</v>
      </c>
      <c r="N813" s="2" t="str">
        <f>HYPERLINK("http://www.epingalert.org/#/details/G/SPS/N/CHN/891")</f>
        <v>http://www.epingalert.org/#/details/G/SPS/N/CHN/891</v>
      </c>
      <c r="O813" s="2"/>
    </row>
    <row r="814" spans="1:15" ht="240" customHeight="1" outlineLevel="1" x14ac:dyDescent="0.25">
      <c r="A814" s="2" t="s">
        <v>380</v>
      </c>
      <c r="B814" s="2" t="s">
        <v>4069</v>
      </c>
      <c r="C814" s="2" t="s">
        <v>4070</v>
      </c>
      <c r="D814" s="2" t="s">
        <v>4071</v>
      </c>
      <c r="E814" s="3">
        <v>42247</v>
      </c>
      <c r="F814" s="2" t="s">
        <v>4072</v>
      </c>
      <c r="G814" s="2"/>
      <c r="H814" s="2" t="s">
        <v>2425</v>
      </c>
      <c r="I814" s="2" t="s">
        <v>2426</v>
      </c>
      <c r="J814" s="3">
        <v>42307</v>
      </c>
      <c r="K814" s="2" t="str">
        <f>HYPERLINK("https://docs.wto.org/imrd/directdoc.asp?DDFDocuments/t/G/SPS/NCHN890.DOC")</f>
        <v>https://docs.wto.org/imrd/directdoc.asp?DDFDocuments/t/G/SPS/NCHN890.DOC</v>
      </c>
      <c r="L814" s="2" t="str">
        <f>HYPERLINK("https://docs.wto.org/imrd/directdoc.asp?DDFDocuments/u/G/SPS/NCHN890.DOC")</f>
        <v>https://docs.wto.org/imrd/directdoc.asp?DDFDocuments/u/G/SPS/NCHN890.DOC</v>
      </c>
      <c r="M814" s="2" t="str">
        <f>HYPERLINK("https://docs.wto.org/imrd/directdoc.asp?DDFDocuments/v/G/SPS/NCHN890.DOC")</f>
        <v>https://docs.wto.org/imrd/directdoc.asp?DDFDocuments/v/G/SPS/NCHN890.DOC</v>
      </c>
      <c r="N814" s="2" t="str">
        <f>HYPERLINK("http://www.epingalert.org/#/details/G/SPS/N/CHN/890")</f>
        <v>http://www.epingalert.org/#/details/G/SPS/N/CHN/890</v>
      </c>
      <c r="O814" s="2"/>
    </row>
    <row r="815" spans="1:15" ht="240" customHeight="1" outlineLevel="1" x14ac:dyDescent="0.25">
      <c r="A815" s="2" t="s">
        <v>380</v>
      </c>
      <c r="B815" s="2" t="s">
        <v>4073</v>
      </c>
      <c r="C815" s="2" t="s">
        <v>4074</v>
      </c>
      <c r="D815" s="2" t="s">
        <v>4075</v>
      </c>
      <c r="E815" s="3">
        <v>42247</v>
      </c>
      <c r="F815" s="2" t="s">
        <v>4076</v>
      </c>
      <c r="G815" s="2"/>
      <c r="H815" s="2" t="s">
        <v>2425</v>
      </c>
      <c r="I815" s="2" t="s">
        <v>2426</v>
      </c>
      <c r="J815" s="3">
        <v>42307</v>
      </c>
      <c r="K815" s="2" t="str">
        <f>HYPERLINK("https://docs.wto.org/imrd/directdoc.asp?DDFDocuments/t/G/SPS/NCHN889.DOC")</f>
        <v>https://docs.wto.org/imrd/directdoc.asp?DDFDocuments/t/G/SPS/NCHN889.DOC</v>
      </c>
      <c r="L815" s="2" t="str">
        <f>HYPERLINK("https://docs.wto.org/imrd/directdoc.asp?DDFDocuments/u/G/SPS/NCHN889.DOC")</f>
        <v>https://docs.wto.org/imrd/directdoc.asp?DDFDocuments/u/G/SPS/NCHN889.DOC</v>
      </c>
      <c r="M815" s="2" t="str">
        <f>HYPERLINK("https://docs.wto.org/imrd/directdoc.asp?DDFDocuments/v/G/SPS/NCHN889.DOC")</f>
        <v>https://docs.wto.org/imrd/directdoc.asp?DDFDocuments/v/G/SPS/NCHN889.DOC</v>
      </c>
      <c r="N815" s="2" t="str">
        <f>HYPERLINK("http://www.epingalert.org/#/details/G/SPS/N/CHN/889")</f>
        <v>http://www.epingalert.org/#/details/G/SPS/N/CHN/889</v>
      </c>
      <c r="O815" s="2"/>
    </row>
    <row r="816" spans="1:15" ht="240" customHeight="1" outlineLevel="1" x14ac:dyDescent="0.25">
      <c r="A816" s="2" t="s">
        <v>380</v>
      </c>
      <c r="B816" s="2" t="s">
        <v>4077</v>
      </c>
      <c r="C816" s="2" t="s">
        <v>4078</v>
      </c>
      <c r="D816" s="2" t="s">
        <v>4079</v>
      </c>
      <c r="E816" s="3">
        <v>42247</v>
      </c>
      <c r="F816" s="2" t="s">
        <v>4080</v>
      </c>
      <c r="G816" s="2"/>
      <c r="H816" s="2" t="s">
        <v>2425</v>
      </c>
      <c r="I816" s="2" t="s">
        <v>2426</v>
      </c>
      <c r="J816" s="3">
        <v>42307</v>
      </c>
      <c r="K816" s="2" t="str">
        <f>HYPERLINK("https://docs.wto.org/imrd/directdoc.asp?DDFDocuments/t/G/SPS/NCHN888.DOC")</f>
        <v>https://docs.wto.org/imrd/directdoc.asp?DDFDocuments/t/G/SPS/NCHN888.DOC</v>
      </c>
      <c r="L816" s="2" t="str">
        <f>HYPERLINK("https://docs.wto.org/imrd/directdoc.asp?DDFDocuments/u/G/SPS/NCHN888.DOC")</f>
        <v>https://docs.wto.org/imrd/directdoc.asp?DDFDocuments/u/G/SPS/NCHN888.DOC</v>
      </c>
      <c r="M816" s="2" t="str">
        <f>HYPERLINK("https://docs.wto.org/imrd/directdoc.asp?DDFDocuments/v/G/SPS/NCHN888.DOC")</f>
        <v>https://docs.wto.org/imrd/directdoc.asp?DDFDocuments/v/G/SPS/NCHN888.DOC</v>
      </c>
      <c r="N816" s="2" t="str">
        <f>HYPERLINK("http://www.epingalert.org/#/details/G/SPS/N/CHN/888")</f>
        <v>http://www.epingalert.org/#/details/G/SPS/N/CHN/888</v>
      </c>
      <c r="O816" s="2"/>
    </row>
    <row r="817" spans="1:15" ht="240" customHeight="1" outlineLevel="1" x14ac:dyDescent="0.25">
      <c r="A817" s="2" t="s">
        <v>380</v>
      </c>
      <c r="B817" s="2" t="s">
        <v>4081</v>
      </c>
      <c r="C817" s="2" t="s">
        <v>4082</v>
      </c>
      <c r="D817" s="2" t="s">
        <v>4083</v>
      </c>
      <c r="E817" s="3">
        <v>42247</v>
      </c>
      <c r="F817" s="2" t="s">
        <v>4084</v>
      </c>
      <c r="G817" s="2"/>
      <c r="H817" s="2" t="s">
        <v>2425</v>
      </c>
      <c r="I817" s="2" t="s">
        <v>2426</v>
      </c>
      <c r="J817" s="3">
        <v>42307</v>
      </c>
      <c r="K817" s="2" t="str">
        <f>HYPERLINK("https://docs.wto.org/imrd/directdoc.asp?DDFDocuments/t/G/SPS/NCHN887.DOC")</f>
        <v>https://docs.wto.org/imrd/directdoc.asp?DDFDocuments/t/G/SPS/NCHN887.DOC</v>
      </c>
      <c r="L817" s="2" t="str">
        <f>HYPERLINK("https://docs.wto.org/imrd/directdoc.asp?DDFDocuments/u/G/SPS/NCHN887.DOC")</f>
        <v>https://docs.wto.org/imrd/directdoc.asp?DDFDocuments/u/G/SPS/NCHN887.DOC</v>
      </c>
      <c r="M817" s="2" t="str">
        <f>HYPERLINK("https://docs.wto.org/imrd/directdoc.asp?DDFDocuments/v/G/SPS/NCHN887.DOC")</f>
        <v>https://docs.wto.org/imrd/directdoc.asp?DDFDocuments/v/G/SPS/NCHN887.DOC</v>
      </c>
      <c r="N817" s="2" t="str">
        <f>HYPERLINK("http://www.epingalert.org/#/details/G/SPS/N/CHN/887")</f>
        <v>http://www.epingalert.org/#/details/G/SPS/N/CHN/887</v>
      </c>
      <c r="O817" s="2"/>
    </row>
    <row r="818" spans="1:15" ht="240" customHeight="1" outlineLevel="1" x14ac:dyDescent="0.25">
      <c r="A818" s="2" t="s">
        <v>380</v>
      </c>
      <c r="B818" s="2" t="s">
        <v>4085</v>
      </c>
      <c r="C818" s="2" t="s">
        <v>4086</v>
      </c>
      <c r="D818" s="2" t="s">
        <v>4087</v>
      </c>
      <c r="E818" s="3">
        <v>42247</v>
      </c>
      <c r="F818" s="2" t="s">
        <v>4088</v>
      </c>
      <c r="G818" s="2"/>
      <c r="H818" s="2" t="s">
        <v>2425</v>
      </c>
      <c r="I818" s="2" t="s">
        <v>2426</v>
      </c>
      <c r="J818" s="3">
        <v>42307</v>
      </c>
      <c r="K818" s="2" t="str">
        <f>HYPERLINK("https://docs.wto.org/imrd/directdoc.asp?DDFDocuments/t/G/SPS/NCHN886.DOC")</f>
        <v>https://docs.wto.org/imrd/directdoc.asp?DDFDocuments/t/G/SPS/NCHN886.DOC</v>
      </c>
      <c r="L818" s="2" t="str">
        <f>HYPERLINK("https://docs.wto.org/imrd/directdoc.asp?DDFDocuments/u/G/SPS/NCHN886.DOC")</f>
        <v>https://docs.wto.org/imrd/directdoc.asp?DDFDocuments/u/G/SPS/NCHN886.DOC</v>
      </c>
      <c r="M818" s="2" t="str">
        <f>HYPERLINK("https://docs.wto.org/imrd/directdoc.asp?DDFDocuments/v/G/SPS/NCHN886.DOC")</f>
        <v>https://docs.wto.org/imrd/directdoc.asp?DDFDocuments/v/G/SPS/NCHN886.DOC</v>
      </c>
      <c r="N818" s="2" t="str">
        <f>HYPERLINK("http://www.epingalert.org/#/details/G/SPS/N/CHN/886")</f>
        <v>http://www.epingalert.org/#/details/G/SPS/N/CHN/886</v>
      </c>
      <c r="O818" s="2"/>
    </row>
    <row r="819" spans="1:15" ht="240" customHeight="1" outlineLevel="1" x14ac:dyDescent="0.25">
      <c r="A819" s="2" t="s">
        <v>380</v>
      </c>
      <c r="B819" s="2" t="s">
        <v>4089</v>
      </c>
      <c r="C819" s="2" t="s">
        <v>4090</v>
      </c>
      <c r="D819" s="2" t="s">
        <v>4091</v>
      </c>
      <c r="E819" s="3">
        <v>42244</v>
      </c>
      <c r="F819" s="2" t="s">
        <v>4092</v>
      </c>
      <c r="G819" s="2"/>
      <c r="H819" s="2" t="s">
        <v>2425</v>
      </c>
      <c r="I819" s="2" t="s">
        <v>2426</v>
      </c>
      <c r="J819" s="3">
        <v>42304</v>
      </c>
      <c r="K819" s="2" t="str">
        <f>HYPERLINK("https://docs.wto.org/imrd/directdoc.asp?DDFDocuments/t/G/SPS/NCHN883.DOC")</f>
        <v>https://docs.wto.org/imrd/directdoc.asp?DDFDocuments/t/G/SPS/NCHN883.DOC</v>
      </c>
      <c r="L819" s="2" t="str">
        <f>HYPERLINK("https://docs.wto.org/imrd/directdoc.asp?DDFDocuments/u/G/SPS/NCHN883.DOC")</f>
        <v>https://docs.wto.org/imrd/directdoc.asp?DDFDocuments/u/G/SPS/NCHN883.DOC</v>
      </c>
      <c r="M819" s="2" t="str">
        <f>HYPERLINK("https://docs.wto.org/imrd/directdoc.asp?DDFDocuments/v/G/SPS/NCHN883.DOC")</f>
        <v>https://docs.wto.org/imrd/directdoc.asp?DDFDocuments/v/G/SPS/NCHN883.DOC</v>
      </c>
      <c r="N819" s="2" t="str">
        <f>HYPERLINK("http://www.epingalert.org/#/details/G/SPS/N/CHN/883")</f>
        <v>http://www.epingalert.org/#/details/G/SPS/N/CHN/883</v>
      </c>
      <c r="O819" s="2"/>
    </row>
    <row r="820" spans="1:15" ht="240" customHeight="1" outlineLevel="1" x14ac:dyDescent="0.25">
      <c r="A820" s="2" t="s">
        <v>380</v>
      </c>
      <c r="B820" s="2" t="s">
        <v>4093</v>
      </c>
      <c r="C820" s="2" t="s">
        <v>4094</v>
      </c>
      <c r="D820" s="2" t="s">
        <v>4095</v>
      </c>
      <c r="E820" s="3">
        <v>42244</v>
      </c>
      <c r="F820" s="2" t="s">
        <v>4096</v>
      </c>
      <c r="G820" s="2"/>
      <c r="H820" s="2" t="s">
        <v>2425</v>
      </c>
      <c r="I820" s="2" t="s">
        <v>2426</v>
      </c>
      <c r="J820" s="3">
        <v>42304</v>
      </c>
      <c r="K820" s="2" t="str">
        <f>HYPERLINK("https://docs.wto.org/imrd/directdoc.asp?DDFDocuments/t/G/SPS/NCHN884.DOC")</f>
        <v>https://docs.wto.org/imrd/directdoc.asp?DDFDocuments/t/G/SPS/NCHN884.DOC</v>
      </c>
      <c r="L820" s="2" t="str">
        <f>HYPERLINK("https://docs.wto.org/imrd/directdoc.asp?DDFDocuments/u/G/SPS/NCHN884.DOC")</f>
        <v>https://docs.wto.org/imrd/directdoc.asp?DDFDocuments/u/G/SPS/NCHN884.DOC</v>
      </c>
      <c r="M820" s="2" t="str">
        <f>HYPERLINK("https://docs.wto.org/imrd/directdoc.asp?DDFDocuments/v/G/SPS/NCHN884.DOC")</f>
        <v>https://docs.wto.org/imrd/directdoc.asp?DDFDocuments/v/G/SPS/NCHN884.DOC</v>
      </c>
      <c r="N820" s="2" t="str">
        <f>HYPERLINK("http://www.epingalert.org/#/details/G/SPS/N/CHN/884")</f>
        <v>http://www.epingalert.org/#/details/G/SPS/N/CHN/884</v>
      </c>
      <c r="O820" s="2"/>
    </row>
    <row r="821" spans="1:15" ht="240" customHeight="1" outlineLevel="1" x14ac:dyDescent="0.25">
      <c r="A821" s="2" t="s">
        <v>380</v>
      </c>
      <c r="B821" s="2" t="s">
        <v>4097</v>
      </c>
      <c r="C821" s="2" t="s">
        <v>4098</v>
      </c>
      <c r="D821" s="2" t="s">
        <v>4099</v>
      </c>
      <c r="E821" s="3">
        <v>42244</v>
      </c>
      <c r="F821" s="2" t="s">
        <v>4100</v>
      </c>
      <c r="G821" s="2"/>
      <c r="H821" s="2" t="s">
        <v>2425</v>
      </c>
      <c r="I821" s="2" t="s">
        <v>2426</v>
      </c>
      <c r="J821" s="3">
        <v>42304</v>
      </c>
      <c r="K821" s="2" t="str">
        <f>HYPERLINK("https://docs.wto.org/imrd/directdoc.asp?DDFDocuments/t/G/SPS/NCHN885.DOC")</f>
        <v>https://docs.wto.org/imrd/directdoc.asp?DDFDocuments/t/G/SPS/NCHN885.DOC</v>
      </c>
      <c r="L821" s="2" t="str">
        <f>HYPERLINK("https://docs.wto.org/imrd/directdoc.asp?DDFDocuments/u/G/SPS/NCHN885.DOC")</f>
        <v>https://docs.wto.org/imrd/directdoc.asp?DDFDocuments/u/G/SPS/NCHN885.DOC</v>
      </c>
      <c r="M821" s="2" t="str">
        <f>HYPERLINK("https://docs.wto.org/imrd/directdoc.asp?DDFDocuments/v/G/SPS/NCHN885.DOC")</f>
        <v>https://docs.wto.org/imrd/directdoc.asp?DDFDocuments/v/G/SPS/NCHN885.DOC</v>
      </c>
      <c r="N821" s="2" t="str">
        <f>HYPERLINK("http://www.epingalert.org/#/details/G/SPS/N/CHN/885")</f>
        <v>http://www.epingalert.org/#/details/G/SPS/N/CHN/885</v>
      </c>
      <c r="O821" s="2"/>
    </row>
    <row r="822" spans="1:15" ht="240" customHeight="1" outlineLevel="1" x14ac:dyDescent="0.25">
      <c r="A822" s="2" t="s">
        <v>77</v>
      </c>
      <c r="B822" s="2" t="s">
        <v>4101</v>
      </c>
      <c r="C822" s="2" t="s">
        <v>4102</v>
      </c>
      <c r="D822" s="2" t="s">
        <v>4103</v>
      </c>
      <c r="E822" s="3">
        <v>42243</v>
      </c>
      <c r="F822" s="2" t="s">
        <v>210</v>
      </c>
      <c r="G822" s="2"/>
      <c r="H822" s="2" t="s">
        <v>2425</v>
      </c>
      <c r="I822" s="2" t="s">
        <v>2535</v>
      </c>
      <c r="J822" s="3">
        <v>42303</v>
      </c>
      <c r="K822" s="2" t="str">
        <f>HYPERLINK("https://docs.wto.org/imrd/directdoc.asp?DDFDocuments/t/G/SPS/NTPKM363.DOC")</f>
        <v>https://docs.wto.org/imrd/directdoc.asp?DDFDocuments/t/G/SPS/NTPKM363.DOC</v>
      </c>
      <c r="L822" s="2" t="str">
        <f>HYPERLINK("https://docs.wto.org/imrd/directdoc.asp?DDFDocuments/u/G/SPS/NTPKM363.DOC")</f>
        <v>https://docs.wto.org/imrd/directdoc.asp?DDFDocuments/u/G/SPS/NTPKM363.DOC</v>
      </c>
      <c r="M822" s="2" t="str">
        <f>HYPERLINK("https://docs.wto.org/imrd/directdoc.asp?DDFDocuments/v/G/SPS/NTPKM363.DOC")</f>
        <v>https://docs.wto.org/imrd/directdoc.asp?DDFDocuments/v/G/SPS/NTPKM363.DOC</v>
      </c>
      <c r="N822" s="2" t="str">
        <f>HYPERLINK("http://www.epingalert.org/#/details/G/SPS/N/TPKM/363")</f>
        <v>http://www.epingalert.org/#/details/G/SPS/N/TPKM/363</v>
      </c>
      <c r="O822" s="2"/>
    </row>
    <row r="823" spans="1:15" ht="240" customHeight="1" outlineLevel="1" x14ac:dyDescent="0.25">
      <c r="A823" s="2" t="s">
        <v>37</v>
      </c>
      <c r="B823" s="2" t="s">
        <v>4104</v>
      </c>
      <c r="C823" s="2" t="s">
        <v>4105</v>
      </c>
      <c r="D823" s="2" t="s">
        <v>4106</v>
      </c>
      <c r="E823" s="3">
        <v>42241</v>
      </c>
      <c r="F823" s="2" t="s">
        <v>4107</v>
      </c>
      <c r="G823" s="2" t="s">
        <v>4108</v>
      </c>
      <c r="H823" s="2" t="s">
        <v>2425</v>
      </c>
      <c r="I823" s="2" t="s">
        <v>2461</v>
      </c>
      <c r="J823" s="3">
        <v>42301</v>
      </c>
      <c r="K823" s="2" t="str">
        <f>HYPERLINK("https://docs.wto.org/imrd/directdoc.asp?DDFDocuments/t/G/SPS/NTUR63.DOC")</f>
        <v>https://docs.wto.org/imrd/directdoc.asp?DDFDocuments/t/G/SPS/NTUR63.DOC</v>
      </c>
      <c r="L823" s="2" t="str">
        <f>HYPERLINK("https://docs.wto.org/imrd/directdoc.asp?DDFDocuments/u/G/SPS/NTUR63.DOC")</f>
        <v>https://docs.wto.org/imrd/directdoc.asp?DDFDocuments/u/G/SPS/NTUR63.DOC</v>
      </c>
      <c r="M823" s="2" t="str">
        <f>HYPERLINK("https://docs.wto.org/imrd/directdoc.asp?DDFDocuments/v/G/SPS/NTUR63.DOC")</f>
        <v>https://docs.wto.org/imrd/directdoc.asp?DDFDocuments/v/G/SPS/NTUR63.DOC</v>
      </c>
      <c r="N823" s="2" t="str">
        <f>HYPERLINK("http://www.epingalert.org/#/details/G/SPS/N/TUR/63")</f>
        <v>http://www.epingalert.org/#/details/G/SPS/N/TUR/63</v>
      </c>
      <c r="O823" s="2"/>
    </row>
    <row r="824" spans="1:15" ht="240" customHeight="1" outlineLevel="1" x14ac:dyDescent="0.25">
      <c r="A824" s="2" t="s">
        <v>115</v>
      </c>
      <c r="B824" s="2" t="s">
        <v>7510</v>
      </c>
      <c r="C824" s="2" t="s">
        <v>6754</v>
      </c>
      <c r="D824" s="2" t="s">
        <v>7511</v>
      </c>
      <c r="E824" s="3">
        <v>42241</v>
      </c>
      <c r="F824" s="2" t="s">
        <v>7512</v>
      </c>
      <c r="G824" s="2" t="s">
        <v>7513</v>
      </c>
      <c r="H824" s="2" t="s">
        <v>2425</v>
      </c>
      <c r="I824" s="2" t="s">
        <v>2453</v>
      </c>
      <c r="J824" s="3">
        <v>42301</v>
      </c>
      <c r="K824" s="2" t="str">
        <f>HYPERLINK("https://docs.wto.org/imrd/directdoc.asp?DDFDocuments/t/G/SPS/NJPN428.DOC")</f>
        <v>https://docs.wto.org/imrd/directdoc.asp?DDFDocuments/t/G/SPS/NJPN428.DOC</v>
      </c>
      <c r="L824" s="2" t="str">
        <f>HYPERLINK("https://docs.wto.org/imrd/directdoc.asp?DDFDocuments/u/G/SPS/NJPN428.DOC")</f>
        <v>https://docs.wto.org/imrd/directdoc.asp?DDFDocuments/u/G/SPS/NJPN428.DOC</v>
      </c>
      <c r="M824" s="2" t="str">
        <f>HYPERLINK("https://docs.wto.org/imrd/directdoc.asp?DDFDocuments/v/G/SPS/NJPN428.DOC")</f>
        <v>https://docs.wto.org/imrd/directdoc.asp?DDFDocuments/v/G/SPS/NJPN428.DOC</v>
      </c>
      <c r="N824" s="2" t="str">
        <f>HYPERLINK("http://www.epingalert.org/#/details/G/SPS/N/JPN/428")</f>
        <v>http://www.epingalert.org/#/details/G/SPS/N/JPN/428</v>
      </c>
      <c r="O824" s="2"/>
    </row>
    <row r="825" spans="1:15" ht="240" customHeight="1" outlineLevel="1" x14ac:dyDescent="0.25">
      <c r="A825" s="2" t="s">
        <v>115</v>
      </c>
      <c r="B825" s="2" t="s">
        <v>7506</v>
      </c>
      <c r="C825" s="2" t="s">
        <v>7507</v>
      </c>
      <c r="D825" s="2" t="s">
        <v>7508</v>
      </c>
      <c r="E825" s="3">
        <v>42241</v>
      </c>
      <c r="F825" s="2" t="s">
        <v>6775</v>
      </c>
      <c r="G825" s="2" t="s">
        <v>7509</v>
      </c>
      <c r="H825" s="2" t="s">
        <v>2425</v>
      </c>
      <c r="I825" s="2" t="s">
        <v>7505</v>
      </c>
      <c r="J825" s="2"/>
      <c r="K825" s="2" t="str">
        <f>HYPERLINK("https://docs.wto.org/imrd/directdoc.asp?DDFDocuments/t/G/SPS/NJPN396R1.DOC")</f>
        <v>https://docs.wto.org/imrd/directdoc.asp?DDFDocuments/t/G/SPS/NJPN396R1.DOC</v>
      </c>
      <c r="L825" s="2" t="str">
        <f>HYPERLINK("https://docs.wto.org/imrd/directdoc.asp?DDFDocuments/u/G/SPS/NJPN396R1.DOC")</f>
        <v>https://docs.wto.org/imrd/directdoc.asp?DDFDocuments/u/G/SPS/NJPN396R1.DOC</v>
      </c>
      <c r="M825" s="2" t="str">
        <f>HYPERLINK("https://docs.wto.org/imrd/directdoc.asp?DDFDocuments/v/G/SPS/NJPN396R1.DOC")</f>
        <v>https://docs.wto.org/imrd/directdoc.asp?DDFDocuments/v/G/SPS/NJPN396R1.DOC</v>
      </c>
      <c r="N825" s="2" t="str">
        <f>HYPERLINK("http://www.epingalert.org/#/details/G/SPS/N/JPN/396/Rev.1")</f>
        <v>http://www.epingalert.org/#/details/G/SPS/N/JPN/396/Rev.1</v>
      </c>
      <c r="O825" s="2"/>
    </row>
    <row r="826" spans="1:15" ht="240" customHeight="1" outlineLevel="1" x14ac:dyDescent="0.25">
      <c r="A826" s="2" t="s">
        <v>77</v>
      </c>
      <c r="B826" s="2" t="s">
        <v>4109</v>
      </c>
      <c r="C826" s="2" t="s">
        <v>4110</v>
      </c>
      <c r="D826" s="2" t="s">
        <v>4111</v>
      </c>
      <c r="E826" s="3">
        <v>42230</v>
      </c>
      <c r="F826" s="2" t="s">
        <v>4112</v>
      </c>
      <c r="G826" s="2" t="s">
        <v>4113</v>
      </c>
      <c r="H826" s="2" t="s">
        <v>2425</v>
      </c>
      <c r="I826" s="2" t="s">
        <v>2426</v>
      </c>
      <c r="J826" s="3">
        <v>42290</v>
      </c>
      <c r="K826" s="2" t="str">
        <f>HYPERLINK("https://docs.wto.org/imrd/directdoc.asp?DDFDocuments/t/G/SPS/NTPKM362.DOC")</f>
        <v>https://docs.wto.org/imrd/directdoc.asp?DDFDocuments/t/G/SPS/NTPKM362.DOC</v>
      </c>
      <c r="L826" s="2" t="str">
        <f>HYPERLINK("https://docs.wto.org/imrd/directdoc.asp?DDFDocuments/u/G/SPS/NTPKM362.DOC")</f>
        <v>https://docs.wto.org/imrd/directdoc.asp?DDFDocuments/u/G/SPS/NTPKM362.DOC</v>
      </c>
      <c r="M826" s="2" t="str">
        <f>HYPERLINK("https://docs.wto.org/imrd/directdoc.asp?DDFDocuments/v/G/SPS/NTPKM362.DOC")</f>
        <v>https://docs.wto.org/imrd/directdoc.asp?DDFDocuments/v/G/SPS/NTPKM362.DOC</v>
      </c>
      <c r="N826" s="2" t="str">
        <f>HYPERLINK("http://www.epingalert.org/#/details/G/SPS/N/TPKM/362")</f>
        <v>http://www.epingalert.org/#/details/G/SPS/N/TPKM/362</v>
      </c>
      <c r="O826" s="2"/>
    </row>
    <row r="827" spans="1:15" ht="240" customHeight="1" outlineLevel="1" x14ac:dyDescent="0.25">
      <c r="A827" s="2" t="s">
        <v>185</v>
      </c>
      <c r="B827" s="2" t="s">
        <v>6639</v>
      </c>
      <c r="C827" s="2" t="s">
        <v>6640</v>
      </c>
      <c r="D827" s="2" t="s">
        <v>6641</v>
      </c>
      <c r="E827" s="3">
        <v>42230</v>
      </c>
      <c r="F827" s="2" t="s">
        <v>1750</v>
      </c>
      <c r="G827" s="2" t="s">
        <v>1775</v>
      </c>
      <c r="H827" s="2" t="s">
        <v>2425</v>
      </c>
      <c r="I827" s="2" t="s">
        <v>6503</v>
      </c>
      <c r="J827" s="3">
        <v>42290</v>
      </c>
      <c r="K827" s="2" t="str">
        <f>HYPERLINK("https://docs.wto.org/imrd/directdoc.asp?DDFDocuments/t/G/SPS/NEGY68.DOC")</f>
        <v>https://docs.wto.org/imrd/directdoc.asp?DDFDocuments/t/G/SPS/NEGY68.DOC</v>
      </c>
      <c r="L827" s="2" t="str">
        <f>HYPERLINK("https://docs.wto.org/imrd/directdoc.asp?DDFDocuments/u/G/SPS/NEGY68.DOC")</f>
        <v>https://docs.wto.org/imrd/directdoc.asp?DDFDocuments/u/G/SPS/NEGY68.DOC</v>
      </c>
      <c r="M827" s="2" t="str">
        <f>HYPERLINK("https://docs.wto.org/imrd/directdoc.asp?DDFDocuments/v/G/SPS/NEGY68.DOC")</f>
        <v>https://docs.wto.org/imrd/directdoc.asp?DDFDocuments/v/G/SPS/NEGY68.DOC</v>
      </c>
      <c r="N827" s="2" t="str">
        <f>HYPERLINK("http://www.epingalert.org/#/details/G/SPS/N/EGY/68")</f>
        <v>http://www.epingalert.org/#/details/G/SPS/N/EGY/68</v>
      </c>
      <c r="O827" s="2"/>
    </row>
    <row r="828" spans="1:15" ht="240" customHeight="1" outlineLevel="1" x14ac:dyDescent="0.25">
      <c r="A828" s="2" t="s">
        <v>185</v>
      </c>
      <c r="B828" s="2" t="s">
        <v>7514</v>
      </c>
      <c r="C828" s="2" t="s">
        <v>7515</v>
      </c>
      <c r="D828" s="2" t="s">
        <v>7516</v>
      </c>
      <c r="E828" s="3">
        <v>42230</v>
      </c>
      <c r="F828" s="2" t="s">
        <v>7336</v>
      </c>
      <c r="G828" s="2" t="s">
        <v>2248</v>
      </c>
      <c r="H828" s="2" t="s">
        <v>2425</v>
      </c>
      <c r="I828" s="2" t="s">
        <v>2461</v>
      </c>
      <c r="J828" s="3">
        <v>42290</v>
      </c>
      <c r="K828" s="2" t="str">
        <f>HYPERLINK("https://docs.wto.org/imrd/directdoc.asp?DDFDocuments/t/G/SPS/NEGY67.DOC")</f>
        <v>https://docs.wto.org/imrd/directdoc.asp?DDFDocuments/t/G/SPS/NEGY67.DOC</v>
      </c>
      <c r="L828" s="2" t="str">
        <f>HYPERLINK("https://docs.wto.org/imrd/directdoc.asp?DDFDocuments/u/G/SPS/NEGY67.DOC")</f>
        <v>https://docs.wto.org/imrd/directdoc.asp?DDFDocuments/u/G/SPS/NEGY67.DOC</v>
      </c>
      <c r="M828" s="2" t="str">
        <f>HYPERLINK("https://docs.wto.org/imrd/directdoc.asp?DDFDocuments/v/G/SPS/NEGY67.DOC")</f>
        <v>https://docs.wto.org/imrd/directdoc.asp?DDFDocuments/v/G/SPS/NEGY67.DOC</v>
      </c>
      <c r="N828" s="2" t="str">
        <f>HYPERLINK("http://www.epingalert.org/#/details/G/SPS/N/EGY/67")</f>
        <v>http://www.epingalert.org/#/details/G/SPS/N/EGY/67</v>
      </c>
      <c r="O828" s="2"/>
    </row>
    <row r="829" spans="1:15" ht="240" customHeight="1" outlineLevel="1" x14ac:dyDescent="0.25">
      <c r="A829" s="2" t="s">
        <v>185</v>
      </c>
      <c r="B829" s="2" t="s">
        <v>4114</v>
      </c>
      <c r="C829" s="2" t="s">
        <v>4115</v>
      </c>
      <c r="D829" s="2" t="s">
        <v>4116</v>
      </c>
      <c r="E829" s="3">
        <v>42229</v>
      </c>
      <c r="F829" s="2" t="s">
        <v>3476</v>
      </c>
      <c r="G829" s="2"/>
      <c r="H829" s="2" t="s">
        <v>2425</v>
      </c>
      <c r="I829" s="2" t="s">
        <v>4117</v>
      </c>
      <c r="J829" s="3">
        <v>42289</v>
      </c>
      <c r="K829" s="2" t="str">
        <f>HYPERLINK("https://docs.wto.org/imrd/directdoc.asp?DDFDocuments/t/G/SPS/NEGY63.DOC")</f>
        <v>https://docs.wto.org/imrd/directdoc.asp?DDFDocuments/t/G/SPS/NEGY63.DOC</v>
      </c>
      <c r="L829" s="2" t="str">
        <f>HYPERLINK("https://docs.wto.org/imrd/directdoc.asp?DDFDocuments/u/G/SPS/NEGY63.DOC")</f>
        <v>https://docs.wto.org/imrd/directdoc.asp?DDFDocuments/u/G/SPS/NEGY63.DOC</v>
      </c>
      <c r="M829" s="2" t="str">
        <f>HYPERLINK("https://docs.wto.org/imrd/directdoc.asp?DDFDocuments/v/G/SPS/NEGY63.DOC")</f>
        <v>https://docs.wto.org/imrd/directdoc.asp?DDFDocuments/v/G/SPS/NEGY63.DOC</v>
      </c>
      <c r="N829" s="2" t="str">
        <f>HYPERLINK("http://www.epingalert.org/#/details/G/SPS/N/EGY/63")</f>
        <v>http://www.epingalert.org/#/details/G/SPS/N/EGY/63</v>
      </c>
      <c r="O829" s="2"/>
    </row>
    <row r="830" spans="1:15" ht="240" customHeight="1" outlineLevel="1" x14ac:dyDescent="0.25">
      <c r="A830" s="2" t="s">
        <v>185</v>
      </c>
      <c r="B830" s="2" t="s">
        <v>6642</v>
      </c>
      <c r="C830" s="2" t="s">
        <v>6643</v>
      </c>
      <c r="D830" s="2" t="s">
        <v>6644</v>
      </c>
      <c r="E830" s="3">
        <v>42229</v>
      </c>
      <c r="F830" s="2" t="s">
        <v>6617</v>
      </c>
      <c r="G830" s="2" t="s">
        <v>6645</v>
      </c>
      <c r="H830" s="2" t="s">
        <v>2425</v>
      </c>
      <c r="I830" s="2" t="s">
        <v>6503</v>
      </c>
      <c r="J830" s="3">
        <v>42289</v>
      </c>
      <c r="K830" s="2" t="str">
        <f>HYPERLINK("https://docs.wto.org/imrd/directdoc.asp?DDFDocuments/t/G/SPS/NEGY62.DOC")</f>
        <v>https://docs.wto.org/imrd/directdoc.asp?DDFDocuments/t/G/SPS/NEGY62.DOC</v>
      </c>
      <c r="L830" s="2" t="str">
        <f>HYPERLINK("https://docs.wto.org/imrd/directdoc.asp?DDFDocuments/u/G/SPS/NEGY62.DOC")</f>
        <v>https://docs.wto.org/imrd/directdoc.asp?DDFDocuments/u/G/SPS/NEGY62.DOC</v>
      </c>
      <c r="M830" s="2" t="str">
        <f>HYPERLINK("https://docs.wto.org/imrd/directdoc.asp?DDFDocuments/v/G/SPS/NEGY62.DOC")</f>
        <v>https://docs.wto.org/imrd/directdoc.asp?DDFDocuments/v/G/SPS/NEGY62.DOC</v>
      </c>
      <c r="N830" s="2" t="str">
        <f>HYPERLINK("http://www.epingalert.org/#/details/G/SPS/N/EGY/62")</f>
        <v>http://www.epingalert.org/#/details/G/SPS/N/EGY/62</v>
      </c>
      <c r="O830" s="2"/>
    </row>
    <row r="831" spans="1:15" ht="240" customHeight="1" outlineLevel="1" x14ac:dyDescent="0.25">
      <c r="A831" s="2" t="s">
        <v>185</v>
      </c>
      <c r="B831" s="2" t="s">
        <v>7517</v>
      </c>
      <c r="C831" s="2" t="s">
        <v>7518</v>
      </c>
      <c r="D831" s="2" t="s">
        <v>7519</v>
      </c>
      <c r="E831" s="3">
        <v>42229</v>
      </c>
      <c r="F831" s="2" t="s">
        <v>7336</v>
      </c>
      <c r="G831" s="2" t="s">
        <v>2248</v>
      </c>
      <c r="H831" s="2" t="s">
        <v>2425</v>
      </c>
      <c r="I831" s="2" t="s">
        <v>2461</v>
      </c>
      <c r="J831" s="3">
        <v>42289</v>
      </c>
      <c r="K831" s="2" t="str">
        <f>HYPERLINK("https://docs.wto.org/imrd/directdoc.asp?DDFDocuments/t/G/SPS/NEGY66.DOC")</f>
        <v>https://docs.wto.org/imrd/directdoc.asp?DDFDocuments/t/G/SPS/NEGY66.DOC</v>
      </c>
      <c r="L831" s="2" t="str">
        <f>HYPERLINK("https://docs.wto.org/imrd/directdoc.asp?DDFDocuments/u/G/SPS/NEGY66.DOC")</f>
        <v>https://docs.wto.org/imrd/directdoc.asp?DDFDocuments/u/G/SPS/NEGY66.DOC</v>
      </c>
      <c r="M831" s="2" t="str">
        <f>HYPERLINK("https://docs.wto.org/imrd/directdoc.asp?DDFDocuments/v/G/SPS/NEGY66.DOC")</f>
        <v>https://docs.wto.org/imrd/directdoc.asp?DDFDocuments/v/G/SPS/NEGY66.DOC</v>
      </c>
      <c r="N831" s="2" t="str">
        <f>HYPERLINK("http://www.epingalert.org/#/details/G/SPS/N/EGY/66")</f>
        <v>http://www.epingalert.org/#/details/G/SPS/N/EGY/66</v>
      </c>
      <c r="O831" s="2"/>
    </row>
    <row r="832" spans="1:15" ht="240" customHeight="1" outlineLevel="1" x14ac:dyDescent="0.25">
      <c r="A832" s="2" t="s">
        <v>185</v>
      </c>
      <c r="B832" s="2" t="s">
        <v>7520</v>
      </c>
      <c r="C832" s="2" t="s">
        <v>7521</v>
      </c>
      <c r="D832" s="2" t="s">
        <v>7522</v>
      </c>
      <c r="E832" s="3">
        <v>42229</v>
      </c>
      <c r="F832" s="2" t="s">
        <v>7283</v>
      </c>
      <c r="G832" s="2" t="s">
        <v>7523</v>
      </c>
      <c r="H832" s="2" t="s">
        <v>2425</v>
      </c>
      <c r="I832" s="2" t="s">
        <v>2461</v>
      </c>
      <c r="J832" s="3">
        <v>42289</v>
      </c>
      <c r="K832" s="2" t="str">
        <f>HYPERLINK("https://docs.wto.org/imrd/directdoc.asp?DDFDocuments/t/G/SPS/NEGY65.DOC")</f>
        <v>https://docs.wto.org/imrd/directdoc.asp?DDFDocuments/t/G/SPS/NEGY65.DOC</v>
      </c>
      <c r="L832" s="2" t="str">
        <f>HYPERLINK("https://docs.wto.org/imrd/directdoc.asp?DDFDocuments/u/G/SPS/NEGY65.DOC")</f>
        <v>https://docs.wto.org/imrd/directdoc.asp?DDFDocuments/u/G/SPS/NEGY65.DOC</v>
      </c>
      <c r="M832" s="2" t="str">
        <f>HYPERLINK("https://docs.wto.org/imrd/directdoc.asp?DDFDocuments/v/G/SPS/NEGY65.DOC")</f>
        <v>https://docs.wto.org/imrd/directdoc.asp?DDFDocuments/v/G/SPS/NEGY65.DOC</v>
      </c>
      <c r="N832" s="2" t="str">
        <f>HYPERLINK("http://www.epingalert.org/#/details/G/SPS/N/EGY/65")</f>
        <v>http://www.epingalert.org/#/details/G/SPS/N/EGY/65</v>
      </c>
      <c r="O832" s="2"/>
    </row>
    <row r="833" spans="1:15" ht="240" customHeight="1" outlineLevel="1" x14ac:dyDescent="0.25">
      <c r="A833" s="2" t="s">
        <v>225</v>
      </c>
      <c r="B833" s="2" t="s">
        <v>4118</v>
      </c>
      <c r="C833" s="2" t="s">
        <v>4119</v>
      </c>
      <c r="D833" s="2" t="s">
        <v>2494</v>
      </c>
      <c r="E833" s="3">
        <v>42228</v>
      </c>
      <c r="F833" s="2" t="s">
        <v>2430</v>
      </c>
      <c r="G833" s="2"/>
      <c r="H833" s="2" t="s">
        <v>2425</v>
      </c>
      <c r="I833" s="2" t="s">
        <v>2431</v>
      </c>
      <c r="J833" s="3">
        <v>42293</v>
      </c>
      <c r="K833" s="2" t="str">
        <f>HYPERLINK("https://docs.wto.org/imrd/directdoc.asp?DDFDocuments/t/G/SPS/NAUS369.DOC")</f>
        <v>https://docs.wto.org/imrd/directdoc.asp?DDFDocuments/t/G/SPS/NAUS369.DOC</v>
      </c>
      <c r="L833" s="2" t="str">
        <f>HYPERLINK("https://docs.wto.org/imrd/directdoc.asp?DDFDocuments/u/G/SPS/NAUS369.DOC")</f>
        <v>https://docs.wto.org/imrd/directdoc.asp?DDFDocuments/u/G/SPS/NAUS369.DOC</v>
      </c>
      <c r="M833" s="2" t="str">
        <f>HYPERLINK("https://docs.wto.org/imrd/directdoc.asp?DDFDocuments/v/G/SPS/NAUS369.DOC")</f>
        <v>https://docs.wto.org/imrd/directdoc.asp?DDFDocuments/v/G/SPS/NAUS369.DOC</v>
      </c>
      <c r="N833" s="2" t="str">
        <f>HYPERLINK("http://www.epingalert.org/#/details/G/SPS/N/AUS/369")</f>
        <v>http://www.epingalert.org/#/details/G/SPS/N/AUS/369</v>
      </c>
      <c r="O833" s="2"/>
    </row>
    <row r="834" spans="1:15" ht="240" customHeight="1" outlineLevel="1" x14ac:dyDescent="0.25">
      <c r="A834" s="2" t="s">
        <v>25</v>
      </c>
      <c r="B834" s="2" t="s">
        <v>4120</v>
      </c>
      <c r="C834" s="2" t="s">
        <v>4121</v>
      </c>
      <c r="D834" s="2" t="s">
        <v>4122</v>
      </c>
      <c r="E834" s="3">
        <v>42226</v>
      </c>
      <c r="F834" s="2" t="s">
        <v>4123</v>
      </c>
      <c r="G834" s="2"/>
      <c r="H834" s="2" t="s">
        <v>2425</v>
      </c>
      <c r="I834" s="2" t="s">
        <v>2461</v>
      </c>
      <c r="J834" s="3">
        <v>42286</v>
      </c>
      <c r="K834" s="2" t="str">
        <f>HYPERLINK("https://docs.wto.org/imrd/directdoc.asp?DDFDocuments/t/G/SPS/NKOR516.DOC")</f>
        <v>https://docs.wto.org/imrd/directdoc.asp?DDFDocuments/t/G/SPS/NKOR516.DOC</v>
      </c>
      <c r="L834" s="2" t="str">
        <f>HYPERLINK("https://docs.wto.org/imrd/directdoc.asp?DDFDocuments/u/G/SPS/NKOR516.DOC")</f>
        <v>https://docs.wto.org/imrd/directdoc.asp?DDFDocuments/u/G/SPS/NKOR516.DOC</v>
      </c>
      <c r="M834" s="2" t="str">
        <f>HYPERLINK("https://docs.wto.org/imrd/directdoc.asp?DDFDocuments/v/G/SPS/NKOR516.DOC")</f>
        <v>https://docs.wto.org/imrd/directdoc.asp?DDFDocuments/v/G/SPS/NKOR516.DOC</v>
      </c>
      <c r="N834" s="2" t="str">
        <f>HYPERLINK("http://www.epingalert.org/#/details/G/SPS/N/KOR/516")</f>
        <v>http://www.epingalert.org/#/details/G/SPS/N/KOR/516</v>
      </c>
      <c r="O834" s="2"/>
    </row>
    <row r="835" spans="1:15" ht="240" customHeight="1" outlineLevel="1" x14ac:dyDescent="0.25">
      <c r="A835" s="2" t="s">
        <v>25</v>
      </c>
      <c r="B835" s="2" t="s">
        <v>4124</v>
      </c>
      <c r="C835" s="2" t="s">
        <v>4125</v>
      </c>
      <c r="D835" s="2" t="s">
        <v>4126</v>
      </c>
      <c r="E835" s="3">
        <v>42226</v>
      </c>
      <c r="F835" s="2" t="s">
        <v>4127</v>
      </c>
      <c r="G835" s="2"/>
      <c r="H835" s="2" t="s">
        <v>2425</v>
      </c>
      <c r="I835" s="2" t="s">
        <v>2461</v>
      </c>
      <c r="J835" s="3">
        <v>42286</v>
      </c>
      <c r="K835" s="2" t="str">
        <f>HYPERLINK("https://docs.wto.org/imrd/directdoc.asp?DDFDocuments/t/G/SPS/NKOR515.DOC")</f>
        <v>https://docs.wto.org/imrd/directdoc.asp?DDFDocuments/t/G/SPS/NKOR515.DOC</v>
      </c>
      <c r="L835" s="2" t="str">
        <f>HYPERLINK("https://docs.wto.org/imrd/directdoc.asp?DDFDocuments/u/G/SPS/NKOR515.DOC")</f>
        <v>https://docs.wto.org/imrd/directdoc.asp?DDFDocuments/u/G/SPS/NKOR515.DOC</v>
      </c>
      <c r="M835" s="2" t="str">
        <f>HYPERLINK("https://docs.wto.org/imrd/directdoc.asp?DDFDocuments/v/G/SPS/NKOR515.DOC")</f>
        <v>https://docs.wto.org/imrd/directdoc.asp?DDFDocuments/v/G/SPS/NKOR515.DOC</v>
      </c>
      <c r="N835" s="2" t="str">
        <f>HYPERLINK("http://www.epingalert.org/#/details/G/SPS/N/KOR/515")</f>
        <v>http://www.epingalert.org/#/details/G/SPS/N/KOR/515</v>
      </c>
      <c r="O835" s="2"/>
    </row>
    <row r="836" spans="1:15" ht="240" customHeight="1" outlineLevel="1" x14ac:dyDescent="0.25">
      <c r="A836" s="2" t="s">
        <v>18</v>
      </c>
      <c r="B836" s="2" t="s">
        <v>6646</v>
      </c>
      <c r="C836" s="2"/>
      <c r="D836" s="2"/>
      <c r="E836" s="3">
        <v>42226</v>
      </c>
      <c r="F836" s="2" t="s">
        <v>6647</v>
      </c>
      <c r="G836" s="2" t="s">
        <v>1646</v>
      </c>
      <c r="H836" s="2" t="s">
        <v>2425</v>
      </c>
      <c r="I836" s="2" t="s">
        <v>2444</v>
      </c>
      <c r="J836" s="2"/>
      <c r="K836" s="2" t="str">
        <f>HYPERLINK("https://docs.wto.org/imrd/directdoc.asp?DDFDocuments/t/G/SPS/NUSA2713A2.DOC")</f>
        <v>https://docs.wto.org/imrd/directdoc.asp?DDFDocuments/t/G/SPS/NUSA2713A2.DOC</v>
      </c>
      <c r="L836" s="2" t="str">
        <f>HYPERLINK("https://docs.wto.org/imrd/directdoc.asp?DDFDocuments/u/G/SPS/NUSA2713A2.DOC")</f>
        <v>https://docs.wto.org/imrd/directdoc.asp?DDFDocuments/u/G/SPS/NUSA2713A2.DOC</v>
      </c>
      <c r="M836" s="2" t="str">
        <f>HYPERLINK("https://docs.wto.org/imrd/directdoc.asp?DDFDocuments/v/G/SPS/NUSA2713A2.DOC")</f>
        <v>https://docs.wto.org/imrd/directdoc.asp?DDFDocuments/v/G/SPS/NUSA2713A2.DOC</v>
      </c>
      <c r="N836" s="2" t="str">
        <f>HYPERLINK("http://www.epingalert.org/#/details/G/SPS/N/USA/2713/Add.2")</f>
        <v>http://www.epingalert.org/#/details/G/SPS/N/USA/2713/Add.2</v>
      </c>
      <c r="O836" s="2"/>
    </row>
    <row r="837" spans="1:15" ht="240" customHeight="1" outlineLevel="1" x14ac:dyDescent="0.25">
      <c r="A837" s="2" t="s">
        <v>121</v>
      </c>
      <c r="B837" s="2" t="s">
        <v>4132</v>
      </c>
      <c r="C837" s="2" t="s">
        <v>4133</v>
      </c>
      <c r="D837" s="2" t="s">
        <v>4134</v>
      </c>
      <c r="E837" s="3">
        <v>42221</v>
      </c>
      <c r="F837" s="2" t="s">
        <v>4135</v>
      </c>
      <c r="G837" s="2"/>
      <c r="H837" s="2" t="s">
        <v>2425</v>
      </c>
      <c r="I837" s="2" t="s">
        <v>2426</v>
      </c>
      <c r="J837" s="3">
        <v>42281</v>
      </c>
      <c r="K837" s="2" t="str">
        <f>HYPERLINK("https://docs.wto.org/imrd/directdoc.asp?DDFDocuments/t/G/SPS/NIND108.DOC")</f>
        <v>https://docs.wto.org/imrd/directdoc.asp?DDFDocuments/t/G/SPS/NIND108.DOC</v>
      </c>
      <c r="L837" s="2" t="str">
        <f>HYPERLINK("https://docs.wto.org/imrd/directdoc.asp?DDFDocuments/u/G/SPS/NIND108.DOC")</f>
        <v>https://docs.wto.org/imrd/directdoc.asp?DDFDocuments/u/G/SPS/NIND108.DOC</v>
      </c>
      <c r="M837" s="2" t="str">
        <f>HYPERLINK("https://docs.wto.org/imrd/directdoc.asp?DDFDocuments/v/G/SPS/NIND108.DOC")</f>
        <v>https://docs.wto.org/imrd/directdoc.asp?DDFDocuments/v/G/SPS/NIND108.DOC</v>
      </c>
      <c r="N837" s="2" t="str">
        <f>HYPERLINK("http://www.epingalert.org/#/details/G/SPS/N/IND/108")</f>
        <v>http://www.epingalert.org/#/details/G/SPS/N/IND/108</v>
      </c>
      <c r="O837" s="2"/>
    </row>
    <row r="838" spans="1:15" ht="240" customHeight="1" outlineLevel="1" x14ac:dyDescent="0.25">
      <c r="A838" s="2" t="s">
        <v>121</v>
      </c>
      <c r="B838" s="2" t="s">
        <v>4128</v>
      </c>
      <c r="C838" s="2" t="s">
        <v>4129</v>
      </c>
      <c r="D838" s="2" t="s">
        <v>4130</v>
      </c>
      <c r="E838" s="3">
        <v>42221</v>
      </c>
      <c r="F838" s="2" t="s">
        <v>4131</v>
      </c>
      <c r="G838" s="2"/>
      <c r="H838" s="2" t="s">
        <v>2425</v>
      </c>
      <c r="I838" s="2" t="s">
        <v>2461</v>
      </c>
      <c r="J838" s="3">
        <v>42281</v>
      </c>
      <c r="K838" s="2" t="str">
        <f>HYPERLINK("https://docs.wto.org/imrd/directdoc.asp?DDFDocuments/t/G/SPS/NIND109.DOC")</f>
        <v>https://docs.wto.org/imrd/directdoc.asp?DDFDocuments/t/G/SPS/NIND109.DOC</v>
      </c>
      <c r="L838" s="2" t="str">
        <f>HYPERLINK("https://docs.wto.org/imrd/directdoc.asp?DDFDocuments/u/G/SPS/NIND109.DOC")</f>
        <v>https://docs.wto.org/imrd/directdoc.asp?DDFDocuments/u/G/SPS/NIND109.DOC</v>
      </c>
      <c r="M838" s="2" t="str">
        <f>HYPERLINK("https://docs.wto.org/imrd/directdoc.asp?DDFDocuments/v/G/SPS/NIND109.DOC")</f>
        <v>https://docs.wto.org/imrd/directdoc.asp?DDFDocuments/v/G/SPS/NIND109.DOC</v>
      </c>
      <c r="N838" s="2" t="str">
        <f>HYPERLINK("http://www.epingalert.org/#/details/G/SPS/N/IND/109")</f>
        <v>http://www.epingalert.org/#/details/G/SPS/N/IND/109</v>
      </c>
      <c r="O838" s="2"/>
    </row>
    <row r="839" spans="1:15" ht="240" customHeight="1" outlineLevel="1" x14ac:dyDescent="0.25">
      <c r="A839" s="2" t="s">
        <v>282</v>
      </c>
      <c r="B839" s="2" t="s">
        <v>7524</v>
      </c>
      <c r="C839" s="2" t="s">
        <v>7525</v>
      </c>
      <c r="D839" s="2" t="s">
        <v>7526</v>
      </c>
      <c r="E839" s="3">
        <v>42221</v>
      </c>
      <c r="F839" s="2" t="s">
        <v>7527</v>
      </c>
      <c r="G839" s="2" t="s">
        <v>7528</v>
      </c>
      <c r="H839" s="2" t="s">
        <v>2648</v>
      </c>
      <c r="I839" s="2" t="s">
        <v>7529</v>
      </c>
      <c r="J839" s="2"/>
      <c r="K839" s="2" t="str">
        <f>HYPERLINK("https://docs.wto.org/imrd/directdoc.asp?DDFDocuments/t/G/SPS/NRUS99.DOC")</f>
        <v>https://docs.wto.org/imrd/directdoc.asp?DDFDocuments/t/G/SPS/NRUS99.DOC</v>
      </c>
      <c r="L839" s="2" t="str">
        <f>HYPERLINK("https://docs.wto.org/imrd/directdoc.asp?DDFDocuments/u/G/SPS/NRUS99.DOC")</f>
        <v>https://docs.wto.org/imrd/directdoc.asp?DDFDocuments/u/G/SPS/NRUS99.DOC</v>
      </c>
      <c r="M839" s="2" t="str">
        <f>HYPERLINK("https://docs.wto.org/imrd/directdoc.asp?DDFDocuments/v/G/SPS/NRUS99.DOC")</f>
        <v>https://docs.wto.org/imrd/directdoc.asp?DDFDocuments/v/G/SPS/NRUS99.DOC</v>
      </c>
      <c r="N839" s="2" t="str">
        <f>HYPERLINK("http://www.epingalert.org/#/details/G/SPS/N/RUS/99")</f>
        <v>http://www.epingalert.org/#/details/G/SPS/N/RUS/99</v>
      </c>
      <c r="O839" s="2"/>
    </row>
    <row r="840" spans="1:15" ht="240" customHeight="1" outlineLevel="1" x14ac:dyDescent="0.25">
      <c r="A840" s="2" t="s">
        <v>18</v>
      </c>
      <c r="B840" s="2" t="s">
        <v>4136</v>
      </c>
      <c r="C840" s="2"/>
      <c r="D840" s="2"/>
      <c r="E840" s="3">
        <v>42220</v>
      </c>
      <c r="F840" s="2" t="s">
        <v>3442</v>
      </c>
      <c r="G840" s="2" t="s">
        <v>4137</v>
      </c>
      <c r="H840" s="2" t="s">
        <v>2425</v>
      </c>
      <c r="I840" s="2" t="s">
        <v>2903</v>
      </c>
      <c r="J840" s="3">
        <v>42284</v>
      </c>
      <c r="K840" s="2" t="str">
        <f>HYPERLINK("https://docs.wto.org/imrd/directdoc.asp?DDFDocuments/t/G/SPS/NUSA2570A3.DOC")</f>
        <v>https://docs.wto.org/imrd/directdoc.asp?DDFDocuments/t/G/SPS/NUSA2570A3.DOC</v>
      </c>
      <c r="L840" s="2" t="str">
        <f>HYPERLINK("https://docs.wto.org/imrd/directdoc.asp?DDFDocuments/u/G/SPS/NUSA2570A3.DOC")</f>
        <v>https://docs.wto.org/imrd/directdoc.asp?DDFDocuments/u/G/SPS/NUSA2570A3.DOC</v>
      </c>
      <c r="M840" s="2" t="str">
        <f>HYPERLINK("https://docs.wto.org/imrd/directdoc.asp?DDFDocuments/v/G/SPS/NUSA2570A3.DOC")</f>
        <v>https://docs.wto.org/imrd/directdoc.asp?DDFDocuments/v/G/SPS/NUSA2570A3.DOC</v>
      </c>
      <c r="N840" s="2" t="str">
        <f>HYPERLINK("http://www.epingalert.org/#/details/G/SPS/N/USA/2570/Add.3")</f>
        <v>http://www.epingalert.org/#/details/G/SPS/N/USA/2570/Add.3</v>
      </c>
      <c r="O840" s="2"/>
    </row>
    <row r="841" spans="1:15" ht="240" customHeight="1" outlineLevel="1" x14ac:dyDescent="0.25">
      <c r="A841" s="2" t="s">
        <v>18</v>
      </c>
      <c r="B841" s="2" t="s">
        <v>4138</v>
      </c>
      <c r="C841" s="2"/>
      <c r="D841" s="2"/>
      <c r="E841" s="3">
        <v>42220</v>
      </c>
      <c r="F841" s="2" t="s">
        <v>3442</v>
      </c>
      <c r="G841" s="2" t="s">
        <v>4139</v>
      </c>
      <c r="H841" s="2" t="s">
        <v>2425</v>
      </c>
      <c r="I841" s="2" t="s">
        <v>2491</v>
      </c>
      <c r="J841" s="3">
        <v>42284</v>
      </c>
      <c r="K841" s="2" t="str">
        <f>HYPERLINK("https://docs.wto.org/imrd/directdoc.asp?DDFDocuments/t/G/SPS/NUSA2570A2.DOC")</f>
        <v>https://docs.wto.org/imrd/directdoc.asp?DDFDocuments/t/G/SPS/NUSA2570A2.DOC</v>
      </c>
      <c r="L841" s="2" t="str">
        <f>HYPERLINK("https://docs.wto.org/imrd/directdoc.asp?DDFDocuments/u/G/SPS/NUSA2570A2.DOC")</f>
        <v>https://docs.wto.org/imrd/directdoc.asp?DDFDocuments/u/G/SPS/NUSA2570A2.DOC</v>
      </c>
      <c r="M841" s="2" t="str">
        <f>HYPERLINK("https://docs.wto.org/imrd/directdoc.asp?DDFDocuments/v/G/SPS/NUSA2570A2.DOC")</f>
        <v>https://docs.wto.org/imrd/directdoc.asp?DDFDocuments/v/G/SPS/NUSA2570A2.DOC</v>
      </c>
      <c r="N841" s="2" t="str">
        <f>HYPERLINK("http://www.epingalert.org/#/details/G/SPS/N/USA/2570/Add.2")</f>
        <v>http://www.epingalert.org/#/details/G/SPS/N/USA/2570/Add.2</v>
      </c>
      <c r="O841" s="2"/>
    </row>
    <row r="842" spans="1:15" ht="240" customHeight="1" outlineLevel="1" x14ac:dyDescent="0.25">
      <c r="A842" s="2" t="s">
        <v>25</v>
      </c>
      <c r="B842" s="2" t="s">
        <v>4146</v>
      </c>
      <c r="C842" s="2" t="s">
        <v>2901</v>
      </c>
      <c r="D842" s="2" t="s">
        <v>4147</v>
      </c>
      <c r="E842" s="3">
        <v>42215</v>
      </c>
      <c r="F842" s="2" t="s">
        <v>4148</v>
      </c>
      <c r="G842" s="2"/>
      <c r="H842" s="2" t="s">
        <v>2425</v>
      </c>
      <c r="I842" s="2" t="s">
        <v>2461</v>
      </c>
      <c r="J842" s="3">
        <v>42275</v>
      </c>
      <c r="K842" s="2" t="str">
        <f>HYPERLINK("https://docs.wto.org/imrd/directdoc.asp?DDFDocuments/t/G/SPS/NKOR512.DOC")</f>
        <v>https://docs.wto.org/imrd/directdoc.asp?DDFDocuments/t/G/SPS/NKOR512.DOC</v>
      </c>
      <c r="L842" s="2" t="str">
        <f>HYPERLINK("https://docs.wto.org/imrd/directdoc.asp?DDFDocuments/u/G/SPS/NKOR512.DOC")</f>
        <v>https://docs.wto.org/imrd/directdoc.asp?DDFDocuments/u/G/SPS/NKOR512.DOC</v>
      </c>
      <c r="M842" s="2" t="str">
        <f>HYPERLINK("https://docs.wto.org/imrd/directdoc.asp?DDFDocuments/v/G/SPS/NKOR512.DOC")</f>
        <v>https://docs.wto.org/imrd/directdoc.asp?DDFDocuments/v/G/SPS/NKOR512.DOC</v>
      </c>
      <c r="N842" s="2" t="str">
        <f>HYPERLINK("http://www.epingalert.org/#/details/G/SPS/N/KOR/512")</f>
        <v>http://www.epingalert.org/#/details/G/SPS/N/KOR/512</v>
      </c>
      <c r="O842" s="2"/>
    </row>
    <row r="843" spans="1:15" ht="240" customHeight="1" outlineLevel="1" x14ac:dyDescent="0.25">
      <c r="A843" s="2" t="s">
        <v>282</v>
      </c>
      <c r="B843" s="2" t="s">
        <v>4140</v>
      </c>
      <c r="C843" s="2" t="s">
        <v>4141</v>
      </c>
      <c r="D843" s="2" t="s">
        <v>4142</v>
      </c>
      <c r="E843" s="3">
        <v>42215</v>
      </c>
      <c r="F843" s="2" t="s">
        <v>4143</v>
      </c>
      <c r="G843" s="2" t="s">
        <v>4144</v>
      </c>
      <c r="H843" s="2" t="s">
        <v>2648</v>
      </c>
      <c r="I843" s="2" t="s">
        <v>4145</v>
      </c>
      <c r="J843" s="3">
        <v>42266</v>
      </c>
      <c r="K843" s="2" t="str">
        <f>HYPERLINK("https://docs.wto.org/imrd/directdoc.asp?DDFDocuments/t/G/SPS/NRUS97.DOC")</f>
        <v>https://docs.wto.org/imrd/directdoc.asp?DDFDocuments/t/G/SPS/NRUS97.DOC</v>
      </c>
      <c r="L843" s="2" t="str">
        <f>HYPERLINK("https://docs.wto.org/imrd/directdoc.asp?DDFDocuments/u/G/SPS/NRUS97.DOC")</f>
        <v>https://docs.wto.org/imrd/directdoc.asp?DDFDocuments/u/G/SPS/NRUS97.DOC</v>
      </c>
      <c r="M843" s="2" t="str">
        <f>HYPERLINK("https://docs.wto.org/imrd/directdoc.asp?DDFDocuments/v/G/SPS/NRUS97.DOC")</f>
        <v>https://docs.wto.org/imrd/directdoc.asp?DDFDocuments/v/G/SPS/NRUS97.DOC</v>
      </c>
      <c r="N843" s="2" t="str">
        <f>HYPERLINK("http://www.epingalert.org/#/details/G/SPS/N/RUS/97")</f>
        <v>http://www.epingalert.org/#/details/G/SPS/N/RUS/97</v>
      </c>
      <c r="O843" s="2"/>
    </row>
    <row r="844" spans="1:15" ht="240" customHeight="1" outlineLevel="1" x14ac:dyDescent="0.25">
      <c r="A844" s="2" t="s">
        <v>7355</v>
      </c>
      <c r="B844" s="2" t="s">
        <v>7530</v>
      </c>
      <c r="C844" s="2"/>
      <c r="D844" s="2"/>
      <c r="E844" s="3">
        <v>42214</v>
      </c>
      <c r="F844" s="2" t="s">
        <v>7531</v>
      </c>
      <c r="G844" s="2" t="s">
        <v>7532</v>
      </c>
      <c r="H844" s="2" t="s">
        <v>2648</v>
      </c>
      <c r="I844" s="2" t="s">
        <v>7034</v>
      </c>
      <c r="J844" s="2"/>
      <c r="K844" s="2" t="str">
        <f>HYPERLINK("https://docs.wto.org/imrd/directdoc.asp?DDFDocuments/t/G/SPS/NJOR33A1.DOC")</f>
        <v>https://docs.wto.org/imrd/directdoc.asp?DDFDocuments/t/G/SPS/NJOR33A1.DOC</v>
      </c>
      <c r="L844" s="2" t="str">
        <f>HYPERLINK("https://docs.wto.org/imrd/directdoc.asp?DDFDocuments/u/G/SPS/NJOR33A1.DOC")</f>
        <v>https://docs.wto.org/imrd/directdoc.asp?DDFDocuments/u/G/SPS/NJOR33A1.DOC</v>
      </c>
      <c r="M844" s="2" t="str">
        <f>HYPERLINK("https://docs.wto.org/imrd/directdoc.asp?DDFDocuments/v/G/SPS/NJOR33A1.DOC")</f>
        <v>https://docs.wto.org/imrd/directdoc.asp?DDFDocuments/v/G/SPS/NJOR33A1.DOC</v>
      </c>
      <c r="N844" s="2" t="str">
        <f>HYPERLINK("http://www.epingalert.org/#/details/G/SPS/N/JOR/33/Add.1")</f>
        <v>http://www.epingalert.org/#/details/G/SPS/N/JOR/33/Add.1</v>
      </c>
      <c r="O844" s="2"/>
    </row>
    <row r="845" spans="1:15" ht="240" customHeight="1" outlineLevel="1" x14ac:dyDescent="0.25">
      <c r="A845" s="2" t="s">
        <v>115</v>
      </c>
      <c r="B845" s="2" t="s">
        <v>7533</v>
      </c>
      <c r="C845" s="2" t="s">
        <v>6876</v>
      </c>
      <c r="D845" s="2" t="s">
        <v>7534</v>
      </c>
      <c r="E845" s="3">
        <v>42214</v>
      </c>
      <c r="F845" s="2" t="s">
        <v>7535</v>
      </c>
      <c r="G845" s="2" t="s">
        <v>2039</v>
      </c>
      <c r="H845" s="2" t="s">
        <v>2425</v>
      </c>
      <c r="I845" s="2" t="s">
        <v>4313</v>
      </c>
      <c r="J845" s="2"/>
      <c r="K845" s="2" t="str">
        <f>HYPERLINK("https://docs.wto.org/imrd/directdoc.asp?DDFDocuments/t/G/SPS/NJPN427.DOC")</f>
        <v>https://docs.wto.org/imrd/directdoc.asp?DDFDocuments/t/G/SPS/NJPN427.DOC</v>
      </c>
      <c r="L845" s="2" t="str">
        <f>HYPERLINK("https://docs.wto.org/imrd/directdoc.asp?DDFDocuments/u/G/SPS/NJPN427.DOC")</f>
        <v>https://docs.wto.org/imrd/directdoc.asp?DDFDocuments/u/G/SPS/NJPN427.DOC</v>
      </c>
      <c r="M845" s="2" t="str">
        <f>HYPERLINK("https://docs.wto.org/imrd/directdoc.asp?DDFDocuments/v/G/SPS/NJPN427.DOC")</f>
        <v>https://docs.wto.org/imrd/directdoc.asp?DDFDocuments/v/G/SPS/NJPN427.DOC</v>
      </c>
      <c r="N845" s="2" t="str">
        <f>HYPERLINK("http://www.epingalert.org/#/details/G/SPS/N/JPN/427")</f>
        <v>http://www.epingalert.org/#/details/G/SPS/N/JPN/427</v>
      </c>
      <c r="O845" s="2"/>
    </row>
    <row r="846" spans="1:15" ht="240" customHeight="1" outlineLevel="1" x14ac:dyDescent="0.25">
      <c r="A846" s="2" t="s">
        <v>1908</v>
      </c>
      <c r="B846" s="2" t="s">
        <v>4155</v>
      </c>
      <c r="C846" s="2" t="s">
        <v>4156</v>
      </c>
      <c r="D846" s="2" t="s">
        <v>4157</v>
      </c>
      <c r="E846" s="3">
        <v>42213</v>
      </c>
      <c r="F846" s="2" t="s">
        <v>3507</v>
      </c>
      <c r="G846" s="2"/>
      <c r="H846" s="2" t="s">
        <v>2425</v>
      </c>
      <c r="I846" s="2" t="s">
        <v>2453</v>
      </c>
      <c r="J846" s="3">
        <v>42281</v>
      </c>
      <c r="K846" s="2" t="str">
        <f>HYPERLINK("https://docs.wto.org/imrd/directdoc.asp?DDFDocuments/t/G/SPS/NCAN945.DOC")</f>
        <v>https://docs.wto.org/imrd/directdoc.asp?DDFDocuments/t/G/SPS/NCAN945.DOC</v>
      </c>
      <c r="L846" s="2" t="str">
        <f>HYPERLINK("https://docs.wto.org/imrd/directdoc.asp?DDFDocuments/u/G/SPS/NCAN945.DOC")</f>
        <v>https://docs.wto.org/imrd/directdoc.asp?DDFDocuments/u/G/SPS/NCAN945.DOC</v>
      </c>
      <c r="M846" s="2" t="str">
        <f>HYPERLINK("https://docs.wto.org/imrd/directdoc.asp?DDFDocuments/v/G/SPS/NCAN945.DOC")</f>
        <v>https://docs.wto.org/imrd/directdoc.asp?DDFDocuments/v/G/SPS/NCAN945.DOC</v>
      </c>
      <c r="N846" s="2" t="str">
        <f>HYPERLINK("http://www.epingalert.org/#/details/G/SPS/N/CAN/945")</f>
        <v>http://www.epingalert.org/#/details/G/SPS/N/CAN/945</v>
      </c>
      <c r="O846" s="2"/>
    </row>
    <row r="847" spans="1:15" ht="240" customHeight="1" outlineLevel="1" x14ac:dyDescent="0.25">
      <c r="A847" s="2" t="s">
        <v>25</v>
      </c>
      <c r="B847" s="2" t="s">
        <v>4151</v>
      </c>
      <c r="C847" s="2" t="s">
        <v>2528</v>
      </c>
      <c r="D847" s="2" t="s">
        <v>4152</v>
      </c>
      <c r="E847" s="3">
        <v>42213</v>
      </c>
      <c r="F847" s="2" t="s">
        <v>299</v>
      </c>
      <c r="G847" s="2" t="s">
        <v>4153</v>
      </c>
      <c r="H847" s="2" t="s">
        <v>2425</v>
      </c>
      <c r="I847" s="2" t="s">
        <v>4154</v>
      </c>
      <c r="J847" s="3">
        <v>42273</v>
      </c>
      <c r="K847" s="2" t="str">
        <f>HYPERLINK("https://docs.wto.org/imrd/directdoc.asp?DDFDocuments/t/G/SPS/NKOR511.DOC")</f>
        <v>https://docs.wto.org/imrd/directdoc.asp?DDFDocuments/t/G/SPS/NKOR511.DOC</v>
      </c>
      <c r="L847" s="2" t="str">
        <f>HYPERLINK("https://docs.wto.org/imrd/directdoc.asp?DDFDocuments/u/G/SPS/NKOR511.DOC")</f>
        <v>https://docs.wto.org/imrd/directdoc.asp?DDFDocuments/u/G/SPS/NKOR511.DOC</v>
      </c>
      <c r="M847" s="2" t="str">
        <f>HYPERLINK("https://docs.wto.org/imrd/directdoc.asp?DDFDocuments/v/G/SPS/NKOR511.DOC")</f>
        <v>https://docs.wto.org/imrd/directdoc.asp?DDFDocuments/v/G/SPS/NKOR511.DOC</v>
      </c>
      <c r="N847" s="2" t="str">
        <f>HYPERLINK("http://www.epingalert.org/#/details/G/SPS/N/KOR/511")</f>
        <v>http://www.epingalert.org/#/details/G/SPS/N/KOR/511</v>
      </c>
      <c r="O847" s="2"/>
    </row>
    <row r="848" spans="1:15" ht="240" customHeight="1" outlineLevel="1" x14ac:dyDescent="0.25">
      <c r="A848" s="2" t="s">
        <v>12</v>
      </c>
      <c r="B848" s="2" t="s">
        <v>4149</v>
      </c>
      <c r="C848" s="2"/>
      <c r="D848" s="2"/>
      <c r="E848" s="3">
        <v>42213</v>
      </c>
      <c r="F848" s="2" t="s">
        <v>2451</v>
      </c>
      <c r="G848" s="2" t="s">
        <v>4150</v>
      </c>
      <c r="H848" s="2" t="s">
        <v>2425</v>
      </c>
      <c r="I848" s="2" t="s">
        <v>2672</v>
      </c>
      <c r="J848" s="3">
        <v>42241</v>
      </c>
      <c r="K848" s="2" t="str">
        <f>HYPERLINK("https://docs.wto.org/imrd/directdoc.asp?DDFDocuments/t/G/SPS/NEU130A1.DOC")</f>
        <v>https://docs.wto.org/imrd/directdoc.asp?DDFDocuments/t/G/SPS/NEU130A1.DOC</v>
      </c>
      <c r="L848" s="2" t="str">
        <f>HYPERLINK("https://docs.wto.org/imrd/directdoc.asp?DDFDocuments/u/G/SPS/NEU130A1.DOC")</f>
        <v>https://docs.wto.org/imrd/directdoc.asp?DDFDocuments/u/G/SPS/NEU130A1.DOC</v>
      </c>
      <c r="M848" s="2" t="str">
        <f>HYPERLINK("https://docs.wto.org/imrd/directdoc.asp?DDFDocuments/v/G/SPS/NEU130A1.DOC")</f>
        <v>https://docs.wto.org/imrd/directdoc.asp?DDFDocuments/v/G/SPS/NEU130A1.DOC</v>
      </c>
      <c r="N848" s="2" t="str">
        <f>HYPERLINK("http://www.epingalert.org/#/details/G/SPS/N/EU/130/Add.1")</f>
        <v>http://www.epingalert.org/#/details/G/SPS/N/EU/130/Add.1</v>
      </c>
      <c r="O848" s="2"/>
    </row>
    <row r="849" spans="1:15" ht="240" customHeight="1" outlineLevel="1" x14ac:dyDescent="0.25">
      <c r="A849" s="2" t="s">
        <v>4158</v>
      </c>
      <c r="B849" s="2" t="s">
        <v>4159</v>
      </c>
      <c r="C849" s="2" t="s">
        <v>4160</v>
      </c>
      <c r="D849" s="2" t="s">
        <v>4161</v>
      </c>
      <c r="E849" s="3">
        <v>42213</v>
      </c>
      <c r="F849" s="2" t="s">
        <v>4162</v>
      </c>
      <c r="G849" s="2" t="s">
        <v>4163</v>
      </c>
      <c r="H849" s="2" t="s">
        <v>2573</v>
      </c>
      <c r="I849" s="2" t="s">
        <v>2461</v>
      </c>
      <c r="J849" s="2"/>
      <c r="K849" s="2" t="str">
        <f>HYPERLINK("https://docs.wto.org/imrd/directdoc.asp?DDFDocuments/t/G/SPS/NKGZ3.DOC")</f>
        <v>https://docs.wto.org/imrd/directdoc.asp?DDFDocuments/t/G/SPS/NKGZ3.DOC</v>
      </c>
      <c r="L849" s="2" t="str">
        <f>HYPERLINK("https://docs.wto.org/imrd/directdoc.asp?DDFDocuments/u/G/SPS/NKGZ3.DOC")</f>
        <v>https://docs.wto.org/imrd/directdoc.asp?DDFDocuments/u/G/SPS/NKGZ3.DOC</v>
      </c>
      <c r="M849" s="2" t="str">
        <f>HYPERLINK("https://docs.wto.org/imrd/directdoc.asp?DDFDocuments/v/G/SPS/NKGZ3.DOC")</f>
        <v>https://docs.wto.org/imrd/directdoc.asp?DDFDocuments/v/G/SPS/NKGZ3.DOC</v>
      </c>
      <c r="N849" s="2" t="str">
        <f>HYPERLINK("http://www.epingalert.org/#/details/G/SPS/N/KGZ/3")</f>
        <v>http://www.epingalert.org/#/details/G/SPS/N/KGZ/3</v>
      </c>
      <c r="O849" s="2"/>
    </row>
    <row r="850" spans="1:15" ht="240" customHeight="1" outlineLevel="1" x14ac:dyDescent="0.25">
      <c r="A850" s="2" t="s">
        <v>4158</v>
      </c>
      <c r="B850" s="2" t="s">
        <v>4164</v>
      </c>
      <c r="C850" s="2" t="s">
        <v>4165</v>
      </c>
      <c r="D850" s="2" t="s">
        <v>4166</v>
      </c>
      <c r="E850" s="3">
        <v>42213</v>
      </c>
      <c r="F850" s="2" t="s">
        <v>4162</v>
      </c>
      <c r="G850" s="2" t="s">
        <v>4167</v>
      </c>
      <c r="H850" s="2" t="s">
        <v>2648</v>
      </c>
      <c r="I850" s="2" t="s">
        <v>3151</v>
      </c>
      <c r="J850" s="2"/>
      <c r="K850" s="2" t="str">
        <f>HYPERLINK("https://docs.wto.org/imrd/directdoc.asp?DDFDocuments/t/G/SPS/NKGZ4.DOC")</f>
        <v>https://docs.wto.org/imrd/directdoc.asp?DDFDocuments/t/G/SPS/NKGZ4.DOC</v>
      </c>
      <c r="L850" s="2" t="str">
        <f>HYPERLINK("https://docs.wto.org/imrd/directdoc.asp?DDFDocuments/u/G/SPS/NKGZ4.DOC")</f>
        <v>https://docs.wto.org/imrd/directdoc.asp?DDFDocuments/u/G/SPS/NKGZ4.DOC</v>
      </c>
      <c r="M850" s="2" t="str">
        <f>HYPERLINK("https://docs.wto.org/imrd/directdoc.asp?DDFDocuments/v/G/SPS/NKGZ4.DOC")</f>
        <v>https://docs.wto.org/imrd/directdoc.asp?DDFDocuments/v/G/SPS/NKGZ4.DOC</v>
      </c>
      <c r="N850" s="2" t="str">
        <f>HYPERLINK("http://www.epingalert.org/#/details/G/SPS/N/KGZ/4")</f>
        <v>http://www.epingalert.org/#/details/G/SPS/N/KGZ/4</v>
      </c>
      <c r="O850" s="2"/>
    </row>
    <row r="851" spans="1:15" ht="240" customHeight="1" outlineLevel="1" x14ac:dyDescent="0.25">
      <c r="A851" s="2" t="s">
        <v>1042</v>
      </c>
      <c r="B851" s="2" t="s">
        <v>7536</v>
      </c>
      <c r="C851" s="2" t="s">
        <v>7537</v>
      </c>
      <c r="D851" s="2" t="s">
        <v>7538</v>
      </c>
      <c r="E851" s="3">
        <v>42212</v>
      </c>
      <c r="F851" s="2" t="s">
        <v>7539</v>
      </c>
      <c r="G851" s="2" t="s">
        <v>7540</v>
      </c>
      <c r="H851" s="2" t="s">
        <v>2425</v>
      </c>
      <c r="I851" s="2" t="s">
        <v>2461</v>
      </c>
      <c r="J851" s="3">
        <v>42275</v>
      </c>
      <c r="K851" s="2" t="str">
        <f>HYPERLINK("https://docs.wto.org/imrd/directdoc.asp?DDFDocuments/t/G/SPS/NPHL307.DOC")</f>
        <v>https://docs.wto.org/imrd/directdoc.asp?DDFDocuments/t/G/SPS/NPHL307.DOC</v>
      </c>
      <c r="L851" s="2" t="str">
        <f>HYPERLINK("https://docs.wto.org/imrd/directdoc.asp?DDFDocuments/u/G/SPS/NPHL307.DOC")</f>
        <v>https://docs.wto.org/imrd/directdoc.asp?DDFDocuments/u/G/SPS/NPHL307.DOC</v>
      </c>
      <c r="M851" s="2" t="str">
        <f>HYPERLINK("https://docs.wto.org/imrd/directdoc.asp?DDFDocuments/v/G/SPS/NPHL307.DOC")</f>
        <v>https://docs.wto.org/imrd/directdoc.asp?DDFDocuments/v/G/SPS/NPHL307.DOC</v>
      </c>
      <c r="N851" s="2" t="str">
        <f>HYPERLINK("http://www.epingalert.org/#/details/G/SPS/N/PHL/307")</f>
        <v>http://www.epingalert.org/#/details/G/SPS/N/PHL/307</v>
      </c>
      <c r="O851" s="2"/>
    </row>
    <row r="852" spans="1:15" ht="240" customHeight="1" outlineLevel="1" x14ac:dyDescent="0.25">
      <c r="A852" s="2" t="s">
        <v>12</v>
      </c>
      <c r="B852" s="2" t="s">
        <v>7541</v>
      </c>
      <c r="C852" s="2" t="s">
        <v>7542</v>
      </c>
      <c r="D852" s="2" t="s">
        <v>7543</v>
      </c>
      <c r="E852" s="3">
        <v>42212</v>
      </c>
      <c r="F852" s="2" t="s">
        <v>6980</v>
      </c>
      <c r="G852" s="2" t="s">
        <v>7544</v>
      </c>
      <c r="H852" s="2" t="s">
        <v>6982</v>
      </c>
      <c r="I852" s="2" t="s">
        <v>7545</v>
      </c>
      <c r="J852" s="3">
        <v>42272</v>
      </c>
      <c r="K852" s="2" t="str">
        <f>HYPERLINK("https://docs.wto.org/imrd/directdoc.asp?DDFDocuments/t/G/SPS/NEU143.DOC")</f>
        <v>https://docs.wto.org/imrd/directdoc.asp?DDFDocuments/t/G/SPS/NEU143.DOC</v>
      </c>
      <c r="L852" s="2" t="str">
        <f>HYPERLINK("https://docs.wto.org/imrd/directdoc.asp?DDFDocuments/u/G/SPS/NEU143.DOC")</f>
        <v>https://docs.wto.org/imrd/directdoc.asp?DDFDocuments/u/G/SPS/NEU143.DOC</v>
      </c>
      <c r="M852" s="2" t="str">
        <f>HYPERLINK("https://docs.wto.org/imrd/directdoc.asp?DDFDocuments/v/G/SPS/NEU143.DOC")</f>
        <v>https://docs.wto.org/imrd/directdoc.asp?DDFDocuments/v/G/SPS/NEU143.DOC</v>
      </c>
      <c r="N852" s="2" t="str">
        <f>HYPERLINK("http://www.epingalert.org/#/details/G/SPS/N/EU/143")</f>
        <v>http://www.epingalert.org/#/details/G/SPS/N/EU/143</v>
      </c>
      <c r="O852" s="2"/>
    </row>
    <row r="853" spans="1:15" ht="240" customHeight="1" outlineLevel="1" x14ac:dyDescent="0.25">
      <c r="A853" s="2" t="s">
        <v>12</v>
      </c>
      <c r="B853" s="2" t="s">
        <v>4168</v>
      </c>
      <c r="C853" s="2"/>
      <c r="D853" s="2"/>
      <c r="E853" s="3">
        <v>42212</v>
      </c>
      <c r="F853" s="2" t="s">
        <v>4169</v>
      </c>
      <c r="G853" s="2"/>
      <c r="H853" s="2" t="s">
        <v>2425</v>
      </c>
      <c r="I853" s="2" t="s">
        <v>2444</v>
      </c>
      <c r="J853" s="2"/>
      <c r="K853" s="2" t="str">
        <f>HYPERLINK("https://docs.wto.org/imrd/directdoc.asp?DDFDocuments/t/G/SPS/NEU96A1.DOC")</f>
        <v>https://docs.wto.org/imrd/directdoc.asp?DDFDocuments/t/G/SPS/NEU96A1.DOC</v>
      </c>
      <c r="L853" s="2" t="str">
        <f>HYPERLINK("https://docs.wto.org/imrd/directdoc.asp?DDFDocuments/u/G/SPS/NEU96A1.DOC")</f>
        <v>https://docs.wto.org/imrd/directdoc.asp?DDFDocuments/u/G/SPS/NEU96A1.DOC</v>
      </c>
      <c r="M853" s="2" t="str">
        <f>HYPERLINK("https://docs.wto.org/imrd/directdoc.asp?DDFDocuments/v/G/SPS/NEU96A1.DOC")</f>
        <v>https://docs.wto.org/imrd/directdoc.asp?DDFDocuments/v/G/SPS/NEU96A1.DOC</v>
      </c>
      <c r="N853" s="2" t="str">
        <f>HYPERLINK("http://www.epingalert.org/#/details/G/SPS/N/EU/96/Add.1")</f>
        <v>http://www.epingalert.org/#/details/G/SPS/N/EU/96/Add.1</v>
      </c>
      <c r="O853" s="2"/>
    </row>
    <row r="854" spans="1:15" ht="240" customHeight="1" outlineLevel="1" x14ac:dyDescent="0.25">
      <c r="A854" s="2" t="s">
        <v>1908</v>
      </c>
      <c r="B854" s="2" t="s">
        <v>6648</v>
      </c>
      <c r="C854" s="2"/>
      <c r="D854" s="2"/>
      <c r="E854" s="3">
        <v>42212</v>
      </c>
      <c r="F854" s="2" t="s">
        <v>6649</v>
      </c>
      <c r="G854" s="2" t="s">
        <v>1646</v>
      </c>
      <c r="H854" s="2" t="s">
        <v>2425</v>
      </c>
      <c r="I854" s="2" t="s">
        <v>2444</v>
      </c>
      <c r="J854" s="2"/>
      <c r="K854" s="2" t="str">
        <f>HYPERLINK("https://docs.wto.org/imrd/directdoc.asp?DDFDocuments/t/G/SPS/NCAN909A1.DOC")</f>
        <v>https://docs.wto.org/imrd/directdoc.asp?DDFDocuments/t/G/SPS/NCAN909A1.DOC</v>
      </c>
      <c r="L854" s="2" t="str">
        <f>HYPERLINK("https://docs.wto.org/imrd/directdoc.asp?DDFDocuments/u/G/SPS/NCAN909A1.DOC")</f>
        <v>https://docs.wto.org/imrd/directdoc.asp?DDFDocuments/u/G/SPS/NCAN909A1.DOC</v>
      </c>
      <c r="M854" s="2" t="str">
        <f>HYPERLINK("https://docs.wto.org/imrd/directdoc.asp?DDFDocuments/v/G/SPS/NCAN909A1.DOC")</f>
        <v>https://docs.wto.org/imrd/directdoc.asp?DDFDocuments/v/G/SPS/NCAN909A1.DOC</v>
      </c>
      <c r="N854" s="2" t="str">
        <f>HYPERLINK("http://www.epingalert.org/#/details/G/SPS/N/CAN/909/Add.1")</f>
        <v>http://www.epingalert.org/#/details/G/SPS/N/CAN/909/Add.1</v>
      </c>
      <c r="O854" s="2"/>
    </row>
    <row r="855" spans="1:15" ht="240" customHeight="1" outlineLevel="1" x14ac:dyDescent="0.25">
      <c r="A855" s="2" t="s">
        <v>211</v>
      </c>
      <c r="B855" s="2" t="s">
        <v>7546</v>
      </c>
      <c r="C855" s="2"/>
      <c r="D855" s="2"/>
      <c r="E855" s="3">
        <v>42209</v>
      </c>
      <c r="F855" s="2" t="s">
        <v>7547</v>
      </c>
      <c r="G855" s="2" t="s">
        <v>6736</v>
      </c>
      <c r="H855" s="2" t="s">
        <v>2467</v>
      </c>
      <c r="I855" s="2" t="s">
        <v>2491</v>
      </c>
      <c r="J855" s="2"/>
      <c r="K855" s="2" t="str">
        <f>HYPERLINK("https://docs.wto.org/imrd/directdoc.asp?DDFDocuments/t/G/SPS/NNZL444A2.DOC")</f>
        <v>https://docs.wto.org/imrd/directdoc.asp?DDFDocuments/t/G/SPS/NNZL444A2.DOC</v>
      </c>
      <c r="L855" s="2" t="str">
        <f>HYPERLINK("https://docs.wto.org/imrd/directdoc.asp?DDFDocuments/u/G/SPS/NNZL444A2.DOC")</f>
        <v>https://docs.wto.org/imrd/directdoc.asp?DDFDocuments/u/G/SPS/NNZL444A2.DOC</v>
      </c>
      <c r="M855" s="2" t="str">
        <f>HYPERLINK("https://docs.wto.org/imrd/directdoc.asp?DDFDocuments/v/G/SPS/NNZL444A2.DOC")</f>
        <v>https://docs.wto.org/imrd/directdoc.asp?DDFDocuments/v/G/SPS/NNZL444A2.DOC</v>
      </c>
      <c r="N855" s="2" t="str">
        <f>HYPERLINK("http://www.epingalert.org/#/details/G/SPS/N/NZL/444/Add.2")</f>
        <v>http://www.epingalert.org/#/details/G/SPS/N/NZL/444/Add.2</v>
      </c>
      <c r="O855" s="2"/>
    </row>
    <row r="856" spans="1:15" ht="240" customHeight="1" outlineLevel="1" x14ac:dyDescent="0.25">
      <c r="A856" s="2" t="s">
        <v>225</v>
      </c>
      <c r="B856" s="2" t="s">
        <v>4170</v>
      </c>
      <c r="C856" s="2" t="s">
        <v>4171</v>
      </c>
      <c r="D856" s="2" t="s">
        <v>2494</v>
      </c>
      <c r="E856" s="3">
        <v>42205</v>
      </c>
      <c r="F856" s="2" t="s">
        <v>2430</v>
      </c>
      <c r="G856" s="2"/>
      <c r="H856" s="2" t="s">
        <v>2425</v>
      </c>
      <c r="I856" s="2" t="s">
        <v>2431</v>
      </c>
      <c r="J856" s="3">
        <v>42265</v>
      </c>
      <c r="K856" s="2" t="str">
        <f>HYPERLINK("https://docs.wto.org/imrd/directdoc.asp?DDFDocuments/t/G/SPS/NAUS365.DOC")</f>
        <v>https://docs.wto.org/imrd/directdoc.asp?DDFDocuments/t/G/SPS/NAUS365.DOC</v>
      </c>
      <c r="L856" s="2" t="str">
        <f>HYPERLINK("https://docs.wto.org/imrd/directdoc.asp?DDFDocuments/u/G/SPS/NAUS365.DOC")</f>
        <v>https://docs.wto.org/imrd/directdoc.asp?DDFDocuments/u/G/SPS/NAUS365.DOC</v>
      </c>
      <c r="M856" s="2" t="str">
        <f>HYPERLINK("https://docs.wto.org/imrd/directdoc.asp?DDFDocuments/v/G/SPS/NAUS365.DOC")</f>
        <v>https://docs.wto.org/imrd/directdoc.asp?DDFDocuments/v/G/SPS/NAUS365.DOC</v>
      </c>
      <c r="N856" s="2" t="str">
        <f>HYPERLINK("http://www.epingalert.org/#/details/G/SPS/N/AUS/365")</f>
        <v>http://www.epingalert.org/#/details/G/SPS/N/AUS/365</v>
      </c>
      <c r="O856" s="2"/>
    </row>
    <row r="857" spans="1:15" ht="240" customHeight="1" outlineLevel="1" x14ac:dyDescent="0.25">
      <c r="A857" s="2" t="s">
        <v>25</v>
      </c>
      <c r="B857" s="2" t="s">
        <v>7548</v>
      </c>
      <c r="C857" s="2"/>
      <c r="D857" s="2"/>
      <c r="E857" s="3">
        <v>42205</v>
      </c>
      <c r="F857" s="2" t="s">
        <v>7549</v>
      </c>
      <c r="G857" s="2" t="s">
        <v>2039</v>
      </c>
      <c r="H857" s="2" t="s">
        <v>2467</v>
      </c>
      <c r="I857" s="2" t="s">
        <v>2491</v>
      </c>
      <c r="J857" s="3">
        <v>42265</v>
      </c>
      <c r="K857" s="2" t="str">
        <f>HYPERLINK("https://docs.wto.org/imrd/directdoc.asp?DDFDocuments/t/G/SPS/NKOR508A1.DOC")</f>
        <v>https://docs.wto.org/imrd/directdoc.asp?DDFDocuments/t/G/SPS/NKOR508A1.DOC</v>
      </c>
      <c r="L857" s="2" t="str">
        <f>HYPERLINK("https://docs.wto.org/imrd/directdoc.asp?DDFDocuments/u/G/SPS/NKOR508A1.DOC")</f>
        <v>https://docs.wto.org/imrd/directdoc.asp?DDFDocuments/u/G/SPS/NKOR508A1.DOC</v>
      </c>
      <c r="M857" s="2" t="str">
        <f>HYPERLINK("https://docs.wto.org/imrd/directdoc.asp?DDFDocuments/v/G/SPS/NKOR508A1.DOC")</f>
        <v>https://docs.wto.org/imrd/directdoc.asp?DDFDocuments/v/G/SPS/NKOR508A1.DOC</v>
      </c>
      <c r="N857" s="2" t="str">
        <f>HYPERLINK("http://www.epingalert.org/#/details/G/SPS/N/KOR/508/Add.1")</f>
        <v>http://www.epingalert.org/#/details/G/SPS/N/KOR/508/Add.1</v>
      </c>
      <c r="O857" s="2"/>
    </row>
    <row r="858" spans="1:15" ht="240" customHeight="1" outlineLevel="1" x14ac:dyDescent="0.25">
      <c r="A858" s="2" t="s">
        <v>77</v>
      </c>
      <c r="B858" s="2" t="s">
        <v>4172</v>
      </c>
      <c r="C858" s="2" t="s">
        <v>4173</v>
      </c>
      <c r="D858" s="2" t="s">
        <v>4174</v>
      </c>
      <c r="E858" s="3">
        <v>42202</v>
      </c>
      <c r="F858" s="2" t="s">
        <v>4175</v>
      </c>
      <c r="G858" s="2" t="s">
        <v>4176</v>
      </c>
      <c r="H858" s="2" t="s">
        <v>2425</v>
      </c>
      <c r="I858" s="2" t="s">
        <v>2461</v>
      </c>
      <c r="J858" s="3">
        <v>42262</v>
      </c>
      <c r="K858" s="2" t="str">
        <f>HYPERLINK("https://docs.wto.org/imrd/directdoc.asp?DDFDocuments/t/G/SPS/NTPKM359.DOC")</f>
        <v>https://docs.wto.org/imrd/directdoc.asp?DDFDocuments/t/G/SPS/NTPKM359.DOC</v>
      </c>
      <c r="L858" s="2" t="str">
        <f>HYPERLINK("https://docs.wto.org/imrd/directdoc.asp?DDFDocuments/u/G/SPS/NTPKM359.DOC")</f>
        <v>https://docs.wto.org/imrd/directdoc.asp?DDFDocuments/u/G/SPS/NTPKM359.DOC</v>
      </c>
      <c r="M858" s="2" t="str">
        <f>HYPERLINK("https://docs.wto.org/imrd/directdoc.asp?DDFDocuments/v/G/SPS/NTPKM359.DOC")</f>
        <v>https://docs.wto.org/imrd/directdoc.asp?DDFDocuments/v/G/SPS/NTPKM359.DOC</v>
      </c>
      <c r="N858" s="2" t="str">
        <f>HYPERLINK("http://www.epingalert.org/#/details/G/SPS/N/TPKM/359")</f>
        <v>http://www.epingalert.org/#/details/G/SPS/N/TPKM/359</v>
      </c>
      <c r="O858" s="2"/>
    </row>
    <row r="859" spans="1:15" ht="240" customHeight="1" outlineLevel="1" x14ac:dyDescent="0.25">
      <c r="A859" s="2" t="s">
        <v>1908</v>
      </c>
      <c r="B859" s="2" t="s">
        <v>4177</v>
      </c>
      <c r="C859" s="2" t="s">
        <v>4178</v>
      </c>
      <c r="D859" s="2" t="s">
        <v>4179</v>
      </c>
      <c r="E859" s="3">
        <v>42201</v>
      </c>
      <c r="F859" s="2" t="s">
        <v>3509</v>
      </c>
      <c r="G859" s="2"/>
      <c r="H859" s="2" t="s">
        <v>2425</v>
      </c>
      <c r="I859" s="2" t="s">
        <v>2453</v>
      </c>
      <c r="J859" s="3">
        <v>42274</v>
      </c>
      <c r="K859" s="2" t="str">
        <f>HYPERLINK("https://docs.wto.org/imrd/directdoc.asp?DDFDocuments/t/G/SPS/NCAN942.DOC")</f>
        <v>https://docs.wto.org/imrd/directdoc.asp?DDFDocuments/t/G/SPS/NCAN942.DOC</v>
      </c>
      <c r="L859" s="2" t="str">
        <f>HYPERLINK("https://docs.wto.org/imrd/directdoc.asp?DDFDocuments/u/G/SPS/NCAN942.DOC")</f>
        <v>https://docs.wto.org/imrd/directdoc.asp?DDFDocuments/u/G/SPS/NCAN942.DOC</v>
      </c>
      <c r="M859" s="2" t="str">
        <f>HYPERLINK("https://docs.wto.org/imrd/directdoc.asp?DDFDocuments/v/G/SPS/NCAN942.DOC")</f>
        <v>https://docs.wto.org/imrd/directdoc.asp?DDFDocuments/v/G/SPS/NCAN942.DOC</v>
      </c>
      <c r="N859" s="2" t="str">
        <f>HYPERLINK("http://www.epingalert.org/#/details/G/SPS/N/CAN/942")</f>
        <v>http://www.epingalert.org/#/details/G/SPS/N/CAN/942</v>
      </c>
      <c r="O859" s="2"/>
    </row>
    <row r="860" spans="1:15" ht="240" customHeight="1" outlineLevel="1" x14ac:dyDescent="0.25">
      <c r="A860" s="2" t="s">
        <v>1908</v>
      </c>
      <c r="B860" s="2" t="s">
        <v>4180</v>
      </c>
      <c r="C860" s="2" t="s">
        <v>4181</v>
      </c>
      <c r="D860" s="2" t="s">
        <v>4182</v>
      </c>
      <c r="E860" s="3">
        <v>42201</v>
      </c>
      <c r="F860" s="2" t="s">
        <v>3511</v>
      </c>
      <c r="G860" s="2"/>
      <c r="H860" s="2" t="s">
        <v>2425</v>
      </c>
      <c r="I860" s="2" t="s">
        <v>2453</v>
      </c>
      <c r="J860" s="3">
        <v>42274</v>
      </c>
      <c r="K860" s="2" t="str">
        <f>HYPERLINK("https://docs.wto.org/imrd/directdoc.asp?DDFDocuments/t/G/SPS/NCAN941.DOC")</f>
        <v>https://docs.wto.org/imrd/directdoc.asp?DDFDocuments/t/G/SPS/NCAN941.DOC</v>
      </c>
      <c r="L860" s="2" t="str">
        <f>HYPERLINK("https://docs.wto.org/imrd/directdoc.asp?DDFDocuments/u/G/SPS/NCAN941.DOC")</f>
        <v>https://docs.wto.org/imrd/directdoc.asp?DDFDocuments/u/G/SPS/NCAN941.DOC</v>
      </c>
      <c r="M860" s="2" t="str">
        <f>HYPERLINK("https://docs.wto.org/imrd/directdoc.asp?DDFDocuments/v/G/SPS/NCAN941.DOC")</f>
        <v>https://docs.wto.org/imrd/directdoc.asp?DDFDocuments/v/G/SPS/NCAN941.DOC</v>
      </c>
      <c r="N860" s="2" t="str">
        <f>HYPERLINK("http://www.epingalert.org/#/details/G/SPS/N/CAN/941")</f>
        <v>http://www.epingalert.org/#/details/G/SPS/N/CAN/941</v>
      </c>
      <c r="O860" s="2"/>
    </row>
    <row r="861" spans="1:15" ht="240" customHeight="1" outlineLevel="1" x14ac:dyDescent="0.25">
      <c r="A861" s="2" t="s">
        <v>77</v>
      </c>
      <c r="B861" s="2" t="s">
        <v>7550</v>
      </c>
      <c r="C861" s="2"/>
      <c r="D861" s="2"/>
      <c r="E861" s="3">
        <v>42201</v>
      </c>
      <c r="F861" s="2" t="s">
        <v>7551</v>
      </c>
      <c r="G861" s="2" t="s">
        <v>7552</v>
      </c>
      <c r="H861" s="2" t="s">
        <v>2425</v>
      </c>
      <c r="I861" s="2" t="s">
        <v>2444</v>
      </c>
      <c r="J861" s="2"/>
      <c r="K861" s="2" t="str">
        <f>HYPERLINK("https://docs.wto.org/imrd/directdoc.asp?DDFDocuments/t/G/SPS/NTPKM349A1.DOC")</f>
        <v>https://docs.wto.org/imrd/directdoc.asp?DDFDocuments/t/G/SPS/NTPKM349A1.DOC</v>
      </c>
      <c r="L861" s="2" t="str">
        <f>HYPERLINK("https://docs.wto.org/imrd/directdoc.asp?DDFDocuments/u/G/SPS/NTPKM349A1.DOC")</f>
        <v>https://docs.wto.org/imrd/directdoc.asp?DDFDocuments/u/G/SPS/NTPKM349A1.DOC</v>
      </c>
      <c r="M861" s="2" t="str">
        <f>HYPERLINK("https://docs.wto.org/imrd/directdoc.asp?DDFDocuments/v/G/SPS/NTPKM349A1.DOC")</f>
        <v>https://docs.wto.org/imrd/directdoc.asp?DDFDocuments/v/G/SPS/NTPKM349A1.DOC</v>
      </c>
      <c r="N861" s="2" t="str">
        <f>HYPERLINK("http://www.epingalert.org/#/details/G/SPS/N/TPKM/349/Add.1")</f>
        <v>http://www.epingalert.org/#/details/G/SPS/N/TPKM/349/Add.1</v>
      </c>
      <c r="O861" s="2"/>
    </row>
    <row r="862" spans="1:15" ht="240" customHeight="1" outlineLevel="1" x14ac:dyDescent="0.25">
      <c r="A862" s="2" t="s">
        <v>211</v>
      </c>
      <c r="B862" s="2" t="s">
        <v>4183</v>
      </c>
      <c r="C862" s="2" t="s">
        <v>4184</v>
      </c>
      <c r="D862" s="2" t="s">
        <v>4185</v>
      </c>
      <c r="E862" s="3">
        <v>42199</v>
      </c>
      <c r="F862" s="2" t="s">
        <v>2663</v>
      </c>
      <c r="G862" s="2" t="s">
        <v>3505</v>
      </c>
      <c r="H862" s="2" t="s">
        <v>2467</v>
      </c>
      <c r="I862" s="2" t="s">
        <v>2713</v>
      </c>
      <c r="J862" s="3">
        <v>42259</v>
      </c>
      <c r="K862" s="2" t="str">
        <f>HYPERLINK("https://docs.wto.org/imrd/directdoc.asp?DDFDocuments/t/G/SPS/NNZL521.DOC")</f>
        <v>https://docs.wto.org/imrd/directdoc.asp?DDFDocuments/t/G/SPS/NNZL521.DOC</v>
      </c>
      <c r="L862" s="2" t="str">
        <f>HYPERLINK("https://docs.wto.org/imrd/directdoc.asp?DDFDocuments/u/G/SPS/NNZL521.DOC")</f>
        <v>https://docs.wto.org/imrd/directdoc.asp?DDFDocuments/u/G/SPS/NNZL521.DOC</v>
      </c>
      <c r="M862" s="2" t="str">
        <f>HYPERLINK("https://docs.wto.org/imrd/directdoc.asp?DDFDocuments/v/G/SPS/NNZL521.DOC")</f>
        <v>https://docs.wto.org/imrd/directdoc.asp?DDFDocuments/v/G/SPS/NNZL521.DOC</v>
      </c>
      <c r="N862" s="2" t="str">
        <f>HYPERLINK("http://www.epingalert.org/#/details/G/SPS/N/NZL/521")</f>
        <v>http://www.epingalert.org/#/details/G/SPS/N/NZL/521</v>
      </c>
      <c r="O862" s="2"/>
    </row>
    <row r="863" spans="1:15" ht="240" customHeight="1" outlineLevel="1" x14ac:dyDescent="0.25">
      <c r="A863" s="2" t="s">
        <v>115</v>
      </c>
      <c r="B863" s="2" t="s">
        <v>7553</v>
      </c>
      <c r="C863" s="2" t="s">
        <v>7554</v>
      </c>
      <c r="D863" s="2" t="s">
        <v>7555</v>
      </c>
      <c r="E863" s="3">
        <v>42198</v>
      </c>
      <c r="F863" s="2" t="s">
        <v>7556</v>
      </c>
      <c r="G863" s="2" t="s">
        <v>7557</v>
      </c>
      <c r="H863" s="2" t="s">
        <v>2425</v>
      </c>
      <c r="I863" s="2" t="s">
        <v>2669</v>
      </c>
      <c r="J863" s="3">
        <v>42258</v>
      </c>
      <c r="K863" s="2" t="str">
        <f>HYPERLINK("https://docs.wto.org/imrd/directdoc.asp?DDFDocuments/t/G/SPS/NJPN425.DOC")</f>
        <v>https://docs.wto.org/imrd/directdoc.asp?DDFDocuments/t/G/SPS/NJPN425.DOC</v>
      </c>
      <c r="L863" s="2" t="str">
        <f>HYPERLINK("https://docs.wto.org/imrd/directdoc.asp?DDFDocuments/u/G/SPS/NJPN425.DOC")</f>
        <v>https://docs.wto.org/imrd/directdoc.asp?DDFDocuments/u/G/SPS/NJPN425.DOC</v>
      </c>
      <c r="M863" s="2" t="str">
        <f>HYPERLINK("https://docs.wto.org/imrd/directdoc.asp?DDFDocuments/v/G/SPS/NJPN425.DOC")</f>
        <v>https://docs.wto.org/imrd/directdoc.asp?DDFDocuments/v/G/SPS/NJPN425.DOC</v>
      </c>
      <c r="N863" s="2" t="str">
        <f>HYPERLINK("http://www.epingalert.org/#/details/G/SPS/N/JPN/425")</f>
        <v>http://www.epingalert.org/#/details/G/SPS/N/JPN/425</v>
      </c>
      <c r="O863" s="2"/>
    </row>
    <row r="864" spans="1:15" ht="240" customHeight="1" outlineLevel="1" x14ac:dyDescent="0.25">
      <c r="A864" s="2" t="s">
        <v>115</v>
      </c>
      <c r="B864" s="2" t="s">
        <v>7558</v>
      </c>
      <c r="C864" s="2" t="s">
        <v>7554</v>
      </c>
      <c r="D864" s="2" t="s">
        <v>7559</v>
      </c>
      <c r="E864" s="3">
        <v>42198</v>
      </c>
      <c r="F864" s="2" t="s">
        <v>7556</v>
      </c>
      <c r="G864" s="2" t="s">
        <v>7560</v>
      </c>
      <c r="H864" s="2" t="s">
        <v>2425</v>
      </c>
      <c r="I864" s="2" t="s">
        <v>2669</v>
      </c>
      <c r="J864" s="3">
        <v>42258</v>
      </c>
      <c r="K864" s="2" t="str">
        <f>HYPERLINK("https://docs.wto.org/imrd/directdoc.asp?DDFDocuments/t/G/SPS/NJPN426.DOC")</f>
        <v>https://docs.wto.org/imrd/directdoc.asp?DDFDocuments/t/G/SPS/NJPN426.DOC</v>
      </c>
      <c r="L864" s="2" t="str">
        <f>HYPERLINK("https://docs.wto.org/imrd/directdoc.asp?DDFDocuments/u/G/SPS/NJPN426.DOC")</f>
        <v>https://docs.wto.org/imrd/directdoc.asp?DDFDocuments/u/G/SPS/NJPN426.DOC</v>
      </c>
      <c r="M864" s="2" t="str">
        <f>HYPERLINK("https://docs.wto.org/imrd/directdoc.asp?DDFDocuments/v/G/SPS/NJPN426.DOC")</f>
        <v>https://docs.wto.org/imrd/directdoc.asp?DDFDocuments/v/G/SPS/NJPN426.DOC</v>
      </c>
      <c r="N864" s="2" t="str">
        <f>HYPERLINK("http://www.epingalert.org/#/details/G/SPS/N/JPN/426")</f>
        <v>http://www.epingalert.org/#/details/G/SPS/N/JPN/426</v>
      </c>
      <c r="O864" s="2"/>
    </row>
    <row r="865" spans="1:15" ht="240" customHeight="1" outlineLevel="1" x14ac:dyDescent="0.25">
      <c r="A865" s="2" t="s">
        <v>646</v>
      </c>
      <c r="B865" s="2" t="s">
        <v>4186</v>
      </c>
      <c r="C865" s="2" t="s">
        <v>4187</v>
      </c>
      <c r="D865" s="2" t="s">
        <v>4188</v>
      </c>
      <c r="E865" s="3">
        <v>42195</v>
      </c>
      <c r="F865" s="2" t="s">
        <v>4189</v>
      </c>
      <c r="G865" s="2"/>
      <c r="H865" s="2" t="s">
        <v>2425</v>
      </c>
      <c r="I865" s="2" t="s">
        <v>2461</v>
      </c>
      <c r="J865" s="3">
        <v>42255</v>
      </c>
      <c r="K865" s="2" t="str">
        <f>HYPERLINK("https://docs.wto.org/imrd/directdoc.asp?DDFDocuments/t/G/SPS/NVNM70.DOC")</f>
        <v>https://docs.wto.org/imrd/directdoc.asp?DDFDocuments/t/G/SPS/NVNM70.DOC</v>
      </c>
      <c r="L865" s="2" t="str">
        <f>HYPERLINK("https://docs.wto.org/imrd/directdoc.asp?DDFDocuments/u/G/SPS/NVNM70.DOC")</f>
        <v>https://docs.wto.org/imrd/directdoc.asp?DDFDocuments/u/G/SPS/NVNM70.DOC</v>
      </c>
      <c r="M865" s="2" t="str">
        <f>HYPERLINK("https://docs.wto.org/imrd/directdoc.asp?DDFDocuments/v/G/SPS/NVNM70.DOC")</f>
        <v>https://docs.wto.org/imrd/directdoc.asp?DDFDocuments/v/G/SPS/NVNM70.DOC</v>
      </c>
      <c r="N865" s="2" t="str">
        <f>HYPERLINK("http://www.epingalert.org/#/details/G/SPS/N/VNM/70")</f>
        <v>http://www.epingalert.org/#/details/G/SPS/N/VNM/70</v>
      </c>
      <c r="O865" s="2"/>
    </row>
    <row r="866" spans="1:15" ht="240" customHeight="1" outlineLevel="1" x14ac:dyDescent="0.25">
      <c r="A866" s="2" t="s">
        <v>6650</v>
      </c>
      <c r="B866" s="2" t="s">
        <v>6651</v>
      </c>
      <c r="C866" s="2"/>
      <c r="D866" s="2"/>
      <c r="E866" s="3">
        <v>42195</v>
      </c>
      <c r="F866" s="2"/>
      <c r="G866" s="2" t="s">
        <v>6652</v>
      </c>
      <c r="H866" s="2" t="s">
        <v>2425</v>
      </c>
      <c r="I866" s="2" t="s">
        <v>4406</v>
      </c>
      <c r="J866" s="3">
        <v>42255</v>
      </c>
      <c r="K866" s="2" t="str">
        <f>HYPERLINK("https://docs.wto.org/imrd/directdoc.asp?DDFDocuments/t/G/SPS/NFRA10.DOC")</f>
        <v>https://docs.wto.org/imrd/directdoc.asp?DDFDocuments/t/G/SPS/NFRA10.DOC</v>
      </c>
      <c r="L866" s="2" t="str">
        <f>HYPERLINK("https://docs.wto.org/imrd/directdoc.asp?DDFDocuments/u/G/SPS/NFRA10.DOC")</f>
        <v>https://docs.wto.org/imrd/directdoc.asp?DDFDocuments/u/G/SPS/NFRA10.DOC</v>
      </c>
      <c r="M866" s="2" t="str">
        <f>HYPERLINK("https://docs.wto.org/imrd/directdoc.asp?DDFDocuments/v/G/SPS/NFRA10.DOC")</f>
        <v>https://docs.wto.org/imrd/directdoc.asp?DDFDocuments/v/G/SPS/NFRA10.DOC</v>
      </c>
      <c r="N866" s="2" t="str">
        <f>HYPERLINK("http://www.epingalert.org/#/details/G/SPS/N/FRA/10")</f>
        <v>http://www.epingalert.org/#/details/G/SPS/N/FRA/10</v>
      </c>
      <c r="O866" s="2"/>
    </row>
    <row r="867" spans="1:15" ht="240" customHeight="1" outlineLevel="1" x14ac:dyDescent="0.25">
      <c r="A867" s="2" t="s">
        <v>282</v>
      </c>
      <c r="B867" s="2" t="s">
        <v>7561</v>
      </c>
      <c r="C867" s="2" t="s">
        <v>7562</v>
      </c>
      <c r="D867" s="2" t="s">
        <v>7563</v>
      </c>
      <c r="E867" s="3">
        <v>42195</v>
      </c>
      <c r="F867" s="2" t="s">
        <v>7564</v>
      </c>
      <c r="G867" s="2" t="s">
        <v>7565</v>
      </c>
      <c r="H867" s="2" t="s">
        <v>2425</v>
      </c>
      <c r="I867" s="2" t="s">
        <v>7566</v>
      </c>
      <c r="J867" s="3">
        <v>42255</v>
      </c>
      <c r="K867" s="2" t="str">
        <f>HYPERLINK("https://docs.wto.org/imrd/directdoc.asp?DDFDocuments/t/G/SPS/NRUS96.DOC")</f>
        <v>https://docs.wto.org/imrd/directdoc.asp?DDFDocuments/t/G/SPS/NRUS96.DOC</v>
      </c>
      <c r="L867" s="2" t="str">
        <f>HYPERLINK("https://docs.wto.org/imrd/directdoc.asp?DDFDocuments/u/G/SPS/NRUS96.DOC")</f>
        <v>https://docs.wto.org/imrd/directdoc.asp?DDFDocuments/u/G/SPS/NRUS96.DOC</v>
      </c>
      <c r="M867" s="2" t="str">
        <f>HYPERLINK("https://docs.wto.org/imrd/directdoc.asp?DDFDocuments/v/G/SPS/NRUS96.DOC")</f>
        <v>https://docs.wto.org/imrd/directdoc.asp?DDFDocuments/v/G/SPS/NRUS96.DOC</v>
      </c>
      <c r="N867" s="2" t="str">
        <f>HYPERLINK("http://www.epingalert.org/#/details/G/SPS/N/RUS/96")</f>
        <v>http://www.epingalert.org/#/details/G/SPS/N/RUS/96</v>
      </c>
      <c r="O867" s="2"/>
    </row>
    <row r="868" spans="1:15" ht="240" customHeight="1" outlineLevel="1" x14ac:dyDescent="0.25">
      <c r="A868" s="2" t="s">
        <v>12</v>
      </c>
      <c r="B868" s="2" t="s">
        <v>4192</v>
      </c>
      <c r="C868" s="2" t="s">
        <v>4193</v>
      </c>
      <c r="D868" s="2" t="s">
        <v>4194</v>
      </c>
      <c r="E868" s="3">
        <v>42194</v>
      </c>
      <c r="F868" s="2" t="s">
        <v>2451</v>
      </c>
      <c r="G868" s="2" t="s">
        <v>4195</v>
      </c>
      <c r="H868" s="2" t="s">
        <v>2425</v>
      </c>
      <c r="I868" s="2" t="s">
        <v>2453</v>
      </c>
      <c r="J868" s="3">
        <v>42254</v>
      </c>
      <c r="K868" s="2" t="str">
        <f>HYPERLINK("https://docs.wto.org/imrd/directdoc.asp?DDFDocuments/t/G/SPS/NEU142.DOC")</f>
        <v>https://docs.wto.org/imrd/directdoc.asp?DDFDocuments/t/G/SPS/NEU142.DOC</v>
      </c>
      <c r="L868" s="2" t="str">
        <f>HYPERLINK("https://docs.wto.org/imrd/directdoc.asp?DDFDocuments/u/G/SPS/NEU142.DOC")</f>
        <v>https://docs.wto.org/imrd/directdoc.asp?DDFDocuments/u/G/SPS/NEU142.DOC</v>
      </c>
      <c r="M868" s="2" t="str">
        <f>HYPERLINK("https://docs.wto.org/imrd/directdoc.asp?DDFDocuments/v/G/SPS/NEU142.DOC")</f>
        <v>https://docs.wto.org/imrd/directdoc.asp?DDFDocuments/v/G/SPS/NEU142.DOC</v>
      </c>
      <c r="N868" s="2" t="str">
        <f>HYPERLINK("http://www.epingalert.org/#/details/G/SPS/N/EU/142")</f>
        <v>http://www.epingalert.org/#/details/G/SPS/N/EU/142</v>
      </c>
      <c r="O868" s="2"/>
    </row>
    <row r="869" spans="1:15" ht="240" customHeight="1" outlineLevel="1" x14ac:dyDescent="0.25">
      <c r="A869" s="2" t="s">
        <v>178</v>
      </c>
      <c r="B869" s="2" t="s">
        <v>7573</v>
      </c>
      <c r="C869" s="2" t="s">
        <v>7574</v>
      </c>
      <c r="D869" s="2" t="s">
        <v>7575</v>
      </c>
      <c r="E869" s="3">
        <v>42194</v>
      </c>
      <c r="F869" s="2" t="s">
        <v>7576</v>
      </c>
      <c r="G869" s="2" t="s">
        <v>2790</v>
      </c>
      <c r="H869" s="2" t="s">
        <v>2425</v>
      </c>
      <c r="I869" s="2" t="s">
        <v>2461</v>
      </c>
      <c r="J869" s="3">
        <v>42254</v>
      </c>
      <c r="K869" s="2" t="str">
        <f>HYPERLINK("https://docs.wto.org/imrd/directdoc.asp?DDFDocuments/t/G/SPS/NQAT58.DOC")</f>
        <v>https://docs.wto.org/imrd/directdoc.asp?DDFDocuments/t/G/SPS/NQAT58.DOC</v>
      </c>
      <c r="L869" s="2" t="str">
        <f>HYPERLINK("https://docs.wto.org/imrd/directdoc.asp?DDFDocuments/u/G/SPS/NQAT58.DOC")</f>
        <v>https://docs.wto.org/imrd/directdoc.asp?DDFDocuments/u/G/SPS/NQAT58.DOC</v>
      </c>
      <c r="M869" s="2" t="str">
        <f>HYPERLINK("https://docs.wto.org/imrd/directdoc.asp?DDFDocuments/v/G/SPS/NQAT58.DOC")</f>
        <v>https://docs.wto.org/imrd/directdoc.asp?DDFDocuments/v/G/SPS/NQAT58.DOC</v>
      </c>
      <c r="N869" s="2" t="str">
        <f>HYPERLINK("http://www.epingalert.org/#/details/G/SPS/N/QAT/58")</f>
        <v>http://www.epingalert.org/#/details/G/SPS/N/QAT/58</v>
      </c>
      <c r="O869" s="2"/>
    </row>
    <row r="870" spans="1:15" ht="240" customHeight="1" outlineLevel="1" x14ac:dyDescent="0.25">
      <c r="A870" s="2" t="s">
        <v>178</v>
      </c>
      <c r="B870" s="2" t="s">
        <v>7577</v>
      </c>
      <c r="C870" s="2" t="s">
        <v>7578</v>
      </c>
      <c r="D870" s="2" t="s">
        <v>7579</v>
      </c>
      <c r="E870" s="3">
        <v>42194</v>
      </c>
      <c r="F870" s="2" t="s">
        <v>7580</v>
      </c>
      <c r="G870" s="2" t="s">
        <v>2790</v>
      </c>
      <c r="H870" s="2" t="s">
        <v>2425</v>
      </c>
      <c r="I870" s="2" t="s">
        <v>2461</v>
      </c>
      <c r="J870" s="3">
        <v>42254</v>
      </c>
      <c r="K870" s="2" t="str">
        <f>HYPERLINK("https://docs.wto.org/imrd/directdoc.asp?DDFDocuments/t/G/SPS/NQAT57.DOC")</f>
        <v>https://docs.wto.org/imrd/directdoc.asp?DDFDocuments/t/G/SPS/NQAT57.DOC</v>
      </c>
      <c r="L870" s="2" t="str">
        <f>HYPERLINK("https://docs.wto.org/imrd/directdoc.asp?DDFDocuments/u/G/SPS/NQAT57.DOC")</f>
        <v>https://docs.wto.org/imrd/directdoc.asp?DDFDocuments/u/G/SPS/NQAT57.DOC</v>
      </c>
      <c r="M870" s="2" t="str">
        <f>HYPERLINK("https://docs.wto.org/imrd/directdoc.asp?DDFDocuments/v/G/SPS/NQAT57.DOC")</f>
        <v>https://docs.wto.org/imrd/directdoc.asp?DDFDocuments/v/G/SPS/NQAT57.DOC</v>
      </c>
      <c r="N870" s="2" t="str">
        <f>HYPERLINK("http://www.epingalert.org/#/details/G/SPS/N/QAT/57")</f>
        <v>http://www.epingalert.org/#/details/G/SPS/N/QAT/57</v>
      </c>
      <c r="O870" s="2"/>
    </row>
    <row r="871" spans="1:15" ht="240" customHeight="1" outlineLevel="1" x14ac:dyDescent="0.25">
      <c r="A871" s="2" t="s">
        <v>178</v>
      </c>
      <c r="B871" s="2" t="s">
        <v>7581</v>
      </c>
      <c r="C871" s="2" t="s">
        <v>7582</v>
      </c>
      <c r="D871" s="2" t="s">
        <v>7583</v>
      </c>
      <c r="E871" s="3">
        <v>42194</v>
      </c>
      <c r="F871" s="2" t="s">
        <v>7584</v>
      </c>
      <c r="G871" s="2" t="s">
        <v>6847</v>
      </c>
      <c r="H871" s="2" t="s">
        <v>2425</v>
      </c>
      <c r="I871" s="2" t="s">
        <v>2461</v>
      </c>
      <c r="J871" s="3">
        <v>42254</v>
      </c>
      <c r="K871" s="2" t="str">
        <f>HYPERLINK("https://docs.wto.org/imrd/directdoc.asp?DDFDocuments/t/G/SPS/NQAT56.DOC")</f>
        <v>https://docs.wto.org/imrd/directdoc.asp?DDFDocuments/t/G/SPS/NQAT56.DOC</v>
      </c>
      <c r="L871" s="2" t="str">
        <f>HYPERLINK("https://docs.wto.org/imrd/directdoc.asp?DDFDocuments/u/G/SPS/NQAT56.DOC")</f>
        <v>https://docs.wto.org/imrd/directdoc.asp?DDFDocuments/u/G/SPS/NQAT56.DOC</v>
      </c>
      <c r="M871" s="2" t="str">
        <f>HYPERLINK("https://docs.wto.org/imrd/directdoc.asp?DDFDocuments/v/G/SPS/NQAT56.DOC")</f>
        <v>https://docs.wto.org/imrd/directdoc.asp?DDFDocuments/v/G/SPS/NQAT56.DOC</v>
      </c>
      <c r="N871" s="2" t="str">
        <f>HYPERLINK("http://www.epingalert.org/#/details/G/SPS/N/QAT/56")</f>
        <v>http://www.epingalert.org/#/details/G/SPS/N/QAT/56</v>
      </c>
      <c r="O871" s="2"/>
    </row>
    <row r="872" spans="1:15" ht="240" customHeight="1" outlineLevel="1" x14ac:dyDescent="0.25">
      <c r="A872" s="2" t="s">
        <v>1908</v>
      </c>
      <c r="B872" s="2" t="s">
        <v>4190</v>
      </c>
      <c r="C872" s="2"/>
      <c r="D872" s="2"/>
      <c r="E872" s="3">
        <v>42194</v>
      </c>
      <c r="F872" s="2" t="s">
        <v>4191</v>
      </c>
      <c r="G872" s="2"/>
      <c r="H872" s="2" t="s">
        <v>2425</v>
      </c>
      <c r="I872" s="2" t="s">
        <v>2672</v>
      </c>
      <c r="J872" s="3">
        <v>42206</v>
      </c>
      <c r="K872" s="2" t="str">
        <f>HYPERLINK("https://docs.wto.org/imrd/directdoc.asp?DDFDocuments/t/G/SPS/NCAN938A1.DOC")</f>
        <v>https://docs.wto.org/imrd/directdoc.asp?DDFDocuments/t/G/SPS/NCAN938A1.DOC</v>
      </c>
      <c r="L872" s="2" t="str">
        <f>HYPERLINK("https://docs.wto.org/imrd/directdoc.asp?DDFDocuments/u/G/SPS/NCAN938A1.DOC")</f>
        <v>https://docs.wto.org/imrd/directdoc.asp?DDFDocuments/u/G/SPS/NCAN938A1.DOC</v>
      </c>
      <c r="M872" s="2" t="str">
        <f>HYPERLINK("https://docs.wto.org/imrd/directdoc.asp?DDFDocuments/v/G/SPS/NCAN938A1.DOC")</f>
        <v>https://docs.wto.org/imrd/directdoc.asp?DDFDocuments/v/G/SPS/NCAN938A1.DOC</v>
      </c>
      <c r="N872" s="2" t="str">
        <f>HYPERLINK("http://www.epingalert.org/#/details/G/SPS/N/CAN/938/Add.1")</f>
        <v>http://www.epingalert.org/#/details/G/SPS/N/CAN/938/Add.1</v>
      </c>
      <c r="O872" s="2"/>
    </row>
    <row r="873" spans="1:15" ht="240" customHeight="1" outlineLevel="1" x14ac:dyDescent="0.25">
      <c r="A873" s="2" t="s">
        <v>18</v>
      </c>
      <c r="B873" s="2" t="s">
        <v>7567</v>
      </c>
      <c r="C873" s="2"/>
      <c r="D873" s="2"/>
      <c r="E873" s="3">
        <v>42194</v>
      </c>
      <c r="F873" s="2" t="s">
        <v>7568</v>
      </c>
      <c r="G873" s="2" t="s">
        <v>6799</v>
      </c>
      <c r="H873" s="2" t="s">
        <v>2467</v>
      </c>
      <c r="I873" s="2" t="s">
        <v>2444</v>
      </c>
      <c r="J873" s="2"/>
      <c r="K873" s="2" t="str">
        <f>HYPERLINK("https://docs.wto.org/imrd/directdoc.asp?DDFDocuments/t/G/SPS/NUSA2699A1.DOC")</f>
        <v>https://docs.wto.org/imrd/directdoc.asp?DDFDocuments/t/G/SPS/NUSA2699A1.DOC</v>
      </c>
      <c r="L873" s="2" t="str">
        <f>HYPERLINK("https://docs.wto.org/imrd/directdoc.asp?DDFDocuments/u/G/SPS/NUSA2699A1.DOC")</f>
        <v>https://docs.wto.org/imrd/directdoc.asp?DDFDocuments/u/G/SPS/NUSA2699A1.DOC</v>
      </c>
      <c r="M873" s="2" t="str">
        <f>HYPERLINK("https://docs.wto.org/imrd/directdoc.asp?DDFDocuments/v/G/SPS/NUSA2699A1.DOC")</f>
        <v>https://docs.wto.org/imrd/directdoc.asp?DDFDocuments/v/G/SPS/NUSA2699A1.DOC</v>
      </c>
      <c r="N873" s="2" t="str">
        <f>HYPERLINK("http://www.epingalert.org/#/details/G/SPS/N/USA/2699/Add.1")</f>
        <v>http://www.epingalert.org/#/details/G/SPS/N/USA/2699/Add.1</v>
      </c>
      <c r="O873" s="2"/>
    </row>
    <row r="874" spans="1:15" ht="240" customHeight="1" outlineLevel="1" x14ac:dyDescent="0.25">
      <c r="A874" s="2" t="s">
        <v>18</v>
      </c>
      <c r="B874" s="2" t="s">
        <v>7569</v>
      </c>
      <c r="C874" s="2"/>
      <c r="D874" s="2"/>
      <c r="E874" s="3">
        <v>42194</v>
      </c>
      <c r="F874" s="2" t="s">
        <v>7568</v>
      </c>
      <c r="G874" s="2" t="s">
        <v>7267</v>
      </c>
      <c r="H874" s="2" t="s">
        <v>2467</v>
      </c>
      <c r="I874" s="2" t="s">
        <v>2444</v>
      </c>
      <c r="J874" s="2"/>
      <c r="K874" s="2" t="str">
        <f>HYPERLINK("https://docs.wto.org/imrd/directdoc.asp?DDFDocuments/t/G/SPS/NUSA2617A1.DOC")</f>
        <v>https://docs.wto.org/imrd/directdoc.asp?DDFDocuments/t/G/SPS/NUSA2617A1.DOC</v>
      </c>
      <c r="L874" s="2" t="str">
        <f>HYPERLINK("https://docs.wto.org/imrd/directdoc.asp?DDFDocuments/u/G/SPS/NUSA2617A1.DOC")</f>
        <v>https://docs.wto.org/imrd/directdoc.asp?DDFDocuments/u/G/SPS/NUSA2617A1.DOC</v>
      </c>
      <c r="M874" s="2" t="str">
        <f>HYPERLINK("https://docs.wto.org/imrd/directdoc.asp?DDFDocuments/v/G/SPS/NUSA2617A1.DOC")</f>
        <v>https://docs.wto.org/imrd/directdoc.asp?DDFDocuments/v/G/SPS/NUSA2617A1.DOC</v>
      </c>
      <c r="N874" s="2" t="str">
        <f>HYPERLINK("http://www.epingalert.org/#/details/G/SPS/N/USA/2617/Add.1")</f>
        <v>http://www.epingalert.org/#/details/G/SPS/N/USA/2617/Add.1</v>
      </c>
      <c r="O874" s="2"/>
    </row>
    <row r="875" spans="1:15" ht="240" customHeight="1" outlineLevel="1" x14ac:dyDescent="0.25">
      <c r="A875" s="2" t="s">
        <v>1902</v>
      </c>
      <c r="B875" s="2" t="s">
        <v>7570</v>
      </c>
      <c r="C875" s="2"/>
      <c r="D875" s="2"/>
      <c r="E875" s="3">
        <v>42194</v>
      </c>
      <c r="F875" s="2" t="s">
        <v>7571</v>
      </c>
      <c r="G875" s="2" t="s">
        <v>7572</v>
      </c>
      <c r="H875" s="2" t="s">
        <v>2467</v>
      </c>
      <c r="I875" s="2" t="s">
        <v>2444</v>
      </c>
      <c r="J875" s="2"/>
      <c r="K875" s="2" t="str">
        <f>HYPERLINK("https://docs.wto.org/imrd/directdoc.asp?DDFDocuments/t/G/SPS/NARG181A1.DOC")</f>
        <v>https://docs.wto.org/imrd/directdoc.asp?DDFDocuments/t/G/SPS/NARG181A1.DOC</v>
      </c>
      <c r="L875" s="2" t="str">
        <f>HYPERLINK("https://docs.wto.org/imrd/directdoc.asp?DDFDocuments/u/G/SPS/NARG181A1.DOC")</f>
        <v>https://docs.wto.org/imrd/directdoc.asp?DDFDocuments/u/G/SPS/NARG181A1.DOC</v>
      </c>
      <c r="M875" s="2" t="str">
        <f>HYPERLINK("https://docs.wto.org/imrd/directdoc.asp?DDFDocuments/v/G/SPS/NARG181A1.DOC")</f>
        <v>https://docs.wto.org/imrd/directdoc.asp?DDFDocuments/v/G/SPS/NARG181A1.DOC</v>
      </c>
      <c r="N875" s="2" t="str">
        <f>HYPERLINK("http://www.epingalert.org/#/details/G/SPS/N/ARG/181/Add.1")</f>
        <v>http://www.epingalert.org/#/details/G/SPS/N/ARG/181/Add.1</v>
      </c>
      <c r="O875" s="2"/>
    </row>
    <row r="876" spans="1:15" ht="240" customHeight="1" outlineLevel="1" x14ac:dyDescent="0.25">
      <c r="A876" s="2" t="s">
        <v>12</v>
      </c>
      <c r="B876" s="2" t="s">
        <v>7585</v>
      </c>
      <c r="C876" s="2" t="s">
        <v>7586</v>
      </c>
      <c r="D876" s="2" t="s">
        <v>7587</v>
      </c>
      <c r="E876" s="3">
        <v>42194</v>
      </c>
      <c r="F876" s="2" t="s">
        <v>7588</v>
      </c>
      <c r="G876" s="2" t="s">
        <v>7589</v>
      </c>
      <c r="H876" s="2" t="s">
        <v>2425</v>
      </c>
      <c r="I876" s="2" t="s">
        <v>2461</v>
      </c>
      <c r="J876" s="2"/>
      <c r="K876" s="2" t="str">
        <f>HYPERLINK("https://docs.wto.org/imrd/directdoc.asp?DDFDocuments/t/G/SPS/NEU141.DOC")</f>
        <v>https://docs.wto.org/imrd/directdoc.asp?DDFDocuments/t/G/SPS/NEU141.DOC</v>
      </c>
      <c r="L876" s="2" t="str">
        <f>HYPERLINK("https://docs.wto.org/imrd/directdoc.asp?DDFDocuments/u/G/SPS/NEU141.DOC")</f>
        <v>https://docs.wto.org/imrd/directdoc.asp?DDFDocuments/u/G/SPS/NEU141.DOC</v>
      </c>
      <c r="M876" s="2" t="str">
        <f>HYPERLINK("https://docs.wto.org/imrd/directdoc.asp?DDFDocuments/v/G/SPS/NEU141.DOC")</f>
        <v>https://docs.wto.org/imrd/directdoc.asp?DDFDocuments/v/G/SPS/NEU141.DOC</v>
      </c>
      <c r="N876" s="2" t="str">
        <f>HYPERLINK("http://www.epingalert.org/#/details/G/SPS/N/EU/141")</f>
        <v>http://www.epingalert.org/#/details/G/SPS/N/EU/141</v>
      </c>
      <c r="O876" s="2"/>
    </row>
    <row r="877" spans="1:15" ht="240" customHeight="1" outlineLevel="1" x14ac:dyDescent="0.25">
      <c r="A877" s="2" t="s">
        <v>25</v>
      </c>
      <c r="B877" s="2" t="s">
        <v>4196</v>
      </c>
      <c r="C877" s="2" t="s">
        <v>2528</v>
      </c>
      <c r="D877" s="2" t="s">
        <v>4197</v>
      </c>
      <c r="E877" s="3">
        <v>42191</v>
      </c>
      <c r="F877" s="2" t="s">
        <v>299</v>
      </c>
      <c r="G877" s="2"/>
      <c r="H877" s="2" t="s">
        <v>2425</v>
      </c>
      <c r="I877" s="2" t="s">
        <v>2453</v>
      </c>
      <c r="J877" s="3">
        <v>42251</v>
      </c>
      <c r="K877" s="2" t="str">
        <f>HYPERLINK("https://docs.wto.org/imrd/directdoc.asp?DDFDocuments/t/G/SPS/NKOR509.DOC")</f>
        <v>https://docs.wto.org/imrd/directdoc.asp?DDFDocuments/t/G/SPS/NKOR509.DOC</v>
      </c>
      <c r="L877" s="2" t="str">
        <f>HYPERLINK("https://docs.wto.org/imrd/directdoc.asp?DDFDocuments/u/G/SPS/NKOR509.DOC")</f>
        <v>https://docs.wto.org/imrd/directdoc.asp?DDFDocuments/u/G/SPS/NKOR509.DOC</v>
      </c>
      <c r="M877" s="2" t="str">
        <f>HYPERLINK("https://docs.wto.org/imrd/directdoc.asp?DDFDocuments/v/G/SPS/NKOR509.DOC")</f>
        <v>https://docs.wto.org/imrd/directdoc.asp?DDFDocuments/v/G/SPS/NKOR509.DOC</v>
      </c>
      <c r="N877" s="2" t="str">
        <f>HYPERLINK("http://www.epingalert.org/#/details/G/SPS/N/KOR/509")</f>
        <v>http://www.epingalert.org/#/details/G/SPS/N/KOR/509</v>
      </c>
      <c r="O877" s="2"/>
    </row>
    <row r="878" spans="1:15" ht="240" customHeight="1" outlineLevel="1" x14ac:dyDescent="0.25">
      <c r="A878" s="2" t="s">
        <v>12</v>
      </c>
      <c r="B878" s="2" t="s">
        <v>4198</v>
      </c>
      <c r="C878" s="2" t="s">
        <v>4199</v>
      </c>
      <c r="D878" s="2" t="s">
        <v>4200</v>
      </c>
      <c r="E878" s="3">
        <v>42188</v>
      </c>
      <c r="F878" s="2" t="s">
        <v>1236</v>
      </c>
      <c r="G878" s="2"/>
      <c r="H878" s="2" t="s">
        <v>2425</v>
      </c>
      <c r="I878" s="2" t="s">
        <v>2426</v>
      </c>
      <c r="J878" s="3">
        <v>42248</v>
      </c>
      <c r="K878" s="2" t="str">
        <f>HYPERLINK("https://docs.wto.org/imrd/directdoc.asp?DDFDocuments/t/G/SPS/NEU138.DOC")</f>
        <v>https://docs.wto.org/imrd/directdoc.asp?DDFDocuments/t/G/SPS/NEU138.DOC</v>
      </c>
      <c r="L878" s="2" t="str">
        <f>HYPERLINK("https://docs.wto.org/imrd/directdoc.asp?DDFDocuments/u/G/SPS/NEU138.DOC")</f>
        <v>https://docs.wto.org/imrd/directdoc.asp?DDFDocuments/u/G/SPS/NEU138.DOC</v>
      </c>
      <c r="M878" s="2" t="str">
        <f>HYPERLINK("https://docs.wto.org/imrd/directdoc.asp?DDFDocuments/v/G/SPS/NEU138.DOC")</f>
        <v>https://docs.wto.org/imrd/directdoc.asp?DDFDocuments/v/G/SPS/NEU138.DOC</v>
      </c>
      <c r="N878" s="2" t="str">
        <f>HYPERLINK("http://www.epingalert.org/#/details/G/SPS/N/EU/138")</f>
        <v>http://www.epingalert.org/#/details/G/SPS/N/EU/138</v>
      </c>
      <c r="O878" s="2"/>
    </row>
    <row r="879" spans="1:15" ht="240" customHeight="1" outlineLevel="1" x14ac:dyDescent="0.25">
      <c r="A879" s="2" t="s">
        <v>12</v>
      </c>
      <c r="B879" s="2" t="s">
        <v>4201</v>
      </c>
      <c r="C879" s="2" t="s">
        <v>4202</v>
      </c>
      <c r="D879" s="2" t="s">
        <v>4203</v>
      </c>
      <c r="E879" s="3">
        <v>42188</v>
      </c>
      <c r="F879" s="2" t="s">
        <v>1236</v>
      </c>
      <c r="G879" s="2"/>
      <c r="H879" s="2" t="s">
        <v>2425</v>
      </c>
      <c r="I879" s="2" t="s">
        <v>2426</v>
      </c>
      <c r="J879" s="3">
        <v>42248</v>
      </c>
      <c r="K879" s="2" t="str">
        <f>HYPERLINK("https://docs.wto.org/imrd/directdoc.asp?DDFDocuments/t/G/SPS/NEU139.DOC")</f>
        <v>https://docs.wto.org/imrd/directdoc.asp?DDFDocuments/t/G/SPS/NEU139.DOC</v>
      </c>
      <c r="L879" s="2" t="str">
        <f>HYPERLINK("https://docs.wto.org/imrd/directdoc.asp?DDFDocuments/u/G/SPS/NEU139.DOC")</f>
        <v>https://docs.wto.org/imrd/directdoc.asp?DDFDocuments/u/G/SPS/NEU139.DOC</v>
      </c>
      <c r="M879" s="2" t="str">
        <f>HYPERLINK("https://docs.wto.org/imrd/directdoc.asp?DDFDocuments/v/G/SPS/NEU139.DOC")</f>
        <v>https://docs.wto.org/imrd/directdoc.asp?DDFDocuments/v/G/SPS/NEU139.DOC</v>
      </c>
      <c r="N879" s="2" t="str">
        <f>HYPERLINK("http://www.epingalert.org/#/details/G/SPS/N/EU/139")</f>
        <v>http://www.epingalert.org/#/details/G/SPS/N/EU/139</v>
      </c>
      <c r="O879" s="2"/>
    </row>
    <row r="880" spans="1:15" ht="240" customHeight="1" outlineLevel="1" x14ac:dyDescent="0.25">
      <c r="A880" s="2" t="s">
        <v>646</v>
      </c>
      <c r="B880" s="2" t="s">
        <v>4204</v>
      </c>
      <c r="C880" s="2" t="s">
        <v>4205</v>
      </c>
      <c r="D880" s="2" t="s">
        <v>4206</v>
      </c>
      <c r="E880" s="3">
        <v>42187</v>
      </c>
      <c r="F880" s="2" t="s">
        <v>4207</v>
      </c>
      <c r="G880" s="2" t="s">
        <v>4208</v>
      </c>
      <c r="H880" s="2" t="s">
        <v>2425</v>
      </c>
      <c r="I880" s="2" t="s">
        <v>2903</v>
      </c>
      <c r="J880" s="3">
        <v>42247</v>
      </c>
      <c r="K880" s="2" t="str">
        <f>HYPERLINK("https://docs.wto.org/imrd/directdoc.asp?DDFDocuments/t/G/SPS/NVNM69.DOC")</f>
        <v>https://docs.wto.org/imrd/directdoc.asp?DDFDocuments/t/G/SPS/NVNM69.DOC</v>
      </c>
      <c r="L880" s="2" t="str">
        <f>HYPERLINK("https://docs.wto.org/imrd/directdoc.asp?DDFDocuments/u/G/SPS/NVNM69.DOC")</f>
        <v>https://docs.wto.org/imrd/directdoc.asp?DDFDocuments/u/G/SPS/NVNM69.DOC</v>
      </c>
      <c r="M880" s="2" t="str">
        <f>HYPERLINK("https://docs.wto.org/imrd/directdoc.asp?DDFDocuments/v/G/SPS/NVNM69.DOC")</f>
        <v>https://docs.wto.org/imrd/directdoc.asp?DDFDocuments/v/G/SPS/NVNM69.DOC</v>
      </c>
      <c r="N880" s="2" t="str">
        <f>HYPERLINK("http://www.epingalert.org/#/details/G/SPS/N/VNM/69")</f>
        <v>http://www.epingalert.org/#/details/G/SPS/N/VNM/69</v>
      </c>
      <c r="O880" s="2"/>
    </row>
    <row r="881" spans="1:15" ht="240" customHeight="1" outlineLevel="1" x14ac:dyDescent="0.25">
      <c r="A881" s="2" t="s">
        <v>1042</v>
      </c>
      <c r="B881" s="2" t="s">
        <v>4209</v>
      </c>
      <c r="C881" s="2"/>
      <c r="D881" s="2"/>
      <c r="E881" s="3">
        <v>42186</v>
      </c>
      <c r="F881" s="2" t="s">
        <v>4210</v>
      </c>
      <c r="G881" s="2" t="s">
        <v>4211</v>
      </c>
      <c r="H881" s="2" t="s">
        <v>2425</v>
      </c>
      <c r="I881" s="2" t="s">
        <v>2444</v>
      </c>
      <c r="J881" s="3">
        <v>42246</v>
      </c>
      <c r="K881" s="2" t="str">
        <f>HYPERLINK("https://docs.wto.org/imrd/directdoc.asp?DDFDocuments/t/G/SPS/NPHL244A1.DOC")</f>
        <v>https://docs.wto.org/imrd/directdoc.asp?DDFDocuments/t/G/SPS/NPHL244A1.DOC</v>
      </c>
      <c r="L881" s="2" t="str">
        <f>HYPERLINK("https://docs.wto.org/imrd/directdoc.asp?DDFDocuments/u/G/SPS/NPHL244A1.DOC")</f>
        <v>https://docs.wto.org/imrd/directdoc.asp?DDFDocuments/u/G/SPS/NPHL244A1.DOC</v>
      </c>
      <c r="M881" s="2" t="str">
        <f>HYPERLINK("https://docs.wto.org/imrd/directdoc.asp?DDFDocuments/v/G/SPS/NPHL244A1.DOC")</f>
        <v>https://docs.wto.org/imrd/directdoc.asp?DDFDocuments/v/G/SPS/NPHL244A1.DOC</v>
      </c>
      <c r="N881" s="2" t="str">
        <f>HYPERLINK("http://www.epingalert.org/#/details/G/SPS/N/PHL/244/Add.1")</f>
        <v>http://www.epingalert.org/#/details/G/SPS/N/PHL/244/Add.1</v>
      </c>
      <c r="O881" s="2"/>
    </row>
    <row r="882" spans="1:15" ht="240" customHeight="1" outlineLevel="1" x14ac:dyDescent="0.25">
      <c r="A882" s="2" t="s">
        <v>37</v>
      </c>
      <c r="B882" s="2" t="s">
        <v>4212</v>
      </c>
      <c r="C882" s="2" t="s">
        <v>4213</v>
      </c>
      <c r="D882" s="2" t="s">
        <v>661</v>
      </c>
      <c r="E882" s="3">
        <v>42186</v>
      </c>
      <c r="F882" s="2" t="s">
        <v>4214</v>
      </c>
      <c r="G882" s="2"/>
      <c r="H882" s="2" t="s">
        <v>2425</v>
      </c>
      <c r="I882" s="2" t="s">
        <v>2558</v>
      </c>
      <c r="J882" s="3">
        <v>42246</v>
      </c>
      <c r="K882" s="2" t="str">
        <f>HYPERLINK("https://docs.wto.org/imrd/directdoc.asp?DDFDocuments/t/G/SPS/NTUR62.DOC")</f>
        <v>https://docs.wto.org/imrd/directdoc.asp?DDFDocuments/t/G/SPS/NTUR62.DOC</v>
      </c>
      <c r="L882" s="2" t="str">
        <f>HYPERLINK("https://docs.wto.org/imrd/directdoc.asp?DDFDocuments/u/G/SPS/NTUR62.DOC")</f>
        <v>https://docs.wto.org/imrd/directdoc.asp?DDFDocuments/u/G/SPS/NTUR62.DOC</v>
      </c>
      <c r="M882" s="2" t="str">
        <f>HYPERLINK("https://docs.wto.org/imrd/directdoc.asp?DDFDocuments/v/G/SPS/NTUR62.DOC")</f>
        <v>https://docs.wto.org/imrd/directdoc.asp?DDFDocuments/v/G/SPS/NTUR62.DOC</v>
      </c>
      <c r="N882" s="2" t="str">
        <f>HYPERLINK("http://www.epingalert.org/#/details/G/SPS/N/TUR/62")</f>
        <v>http://www.epingalert.org/#/details/G/SPS/N/TUR/62</v>
      </c>
      <c r="O882" s="2"/>
    </row>
    <row r="883" spans="1:15" ht="240" customHeight="1" outlineLevel="1" x14ac:dyDescent="0.25">
      <c r="A883" s="2" t="s">
        <v>115</v>
      </c>
      <c r="B883" s="2" t="s">
        <v>7592</v>
      </c>
      <c r="C883" s="2" t="s">
        <v>7593</v>
      </c>
      <c r="D883" s="2" t="s">
        <v>7594</v>
      </c>
      <c r="E883" s="3">
        <v>42186</v>
      </c>
      <c r="F883" s="2" t="s">
        <v>7595</v>
      </c>
      <c r="G883" s="2" t="s">
        <v>7596</v>
      </c>
      <c r="H883" s="2" t="s">
        <v>2425</v>
      </c>
      <c r="I883" s="2" t="s">
        <v>2453</v>
      </c>
      <c r="J883" s="3">
        <v>42246</v>
      </c>
      <c r="K883" s="2" t="str">
        <f>HYPERLINK("https://docs.wto.org/imrd/directdoc.asp?DDFDocuments/t/G/SPS/NJPN423.DOC")</f>
        <v>https://docs.wto.org/imrd/directdoc.asp?DDFDocuments/t/G/SPS/NJPN423.DOC</v>
      </c>
      <c r="L883" s="2" t="str">
        <f>HYPERLINK("https://docs.wto.org/imrd/directdoc.asp?DDFDocuments/u/G/SPS/NJPN423.DOC")</f>
        <v>https://docs.wto.org/imrd/directdoc.asp?DDFDocuments/u/G/SPS/NJPN423.DOC</v>
      </c>
      <c r="M883" s="2" t="str">
        <f>HYPERLINK("https://docs.wto.org/imrd/directdoc.asp?DDFDocuments/v/G/SPS/NJPN423.DOC")</f>
        <v>https://docs.wto.org/imrd/directdoc.asp?DDFDocuments/v/G/SPS/NJPN423.DOC</v>
      </c>
      <c r="N883" s="2" t="str">
        <f>HYPERLINK("http://www.epingalert.org/#/details/G/SPS/N/JPN/423")</f>
        <v>http://www.epingalert.org/#/details/G/SPS/N/JPN/423</v>
      </c>
      <c r="O883" s="2"/>
    </row>
    <row r="884" spans="1:15" ht="240" customHeight="1" outlineLevel="1" x14ac:dyDescent="0.25">
      <c r="A884" s="2" t="s">
        <v>115</v>
      </c>
      <c r="B884" s="2" t="s">
        <v>7597</v>
      </c>
      <c r="C884" s="2" t="s">
        <v>7598</v>
      </c>
      <c r="D884" s="2" t="s">
        <v>7599</v>
      </c>
      <c r="E884" s="3">
        <v>42186</v>
      </c>
      <c r="F884" s="2" t="s">
        <v>7600</v>
      </c>
      <c r="G884" s="2" t="s">
        <v>7601</v>
      </c>
      <c r="H884" s="2" t="s">
        <v>2425</v>
      </c>
      <c r="I884" s="2" t="s">
        <v>2499</v>
      </c>
      <c r="J884" s="3">
        <v>42246</v>
      </c>
      <c r="K884" s="2" t="str">
        <f>HYPERLINK("https://docs.wto.org/imrd/directdoc.asp?DDFDocuments/t/G/SPS/NJPN424.DOC")</f>
        <v>https://docs.wto.org/imrd/directdoc.asp?DDFDocuments/t/G/SPS/NJPN424.DOC</v>
      </c>
      <c r="L884" s="2" t="str">
        <f>HYPERLINK("https://docs.wto.org/imrd/directdoc.asp?DDFDocuments/u/G/SPS/NJPN424.DOC")</f>
        <v>https://docs.wto.org/imrd/directdoc.asp?DDFDocuments/u/G/SPS/NJPN424.DOC</v>
      </c>
      <c r="M884" s="2" t="str">
        <f>HYPERLINK("https://docs.wto.org/imrd/directdoc.asp?DDFDocuments/v/G/SPS/NJPN424.DOC")</f>
        <v>https://docs.wto.org/imrd/directdoc.asp?DDFDocuments/v/G/SPS/NJPN424.DOC</v>
      </c>
      <c r="N884" s="2" t="str">
        <f>HYPERLINK("http://www.epingalert.org/#/details/G/SPS/N/JPN/424")</f>
        <v>http://www.epingalert.org/#/details/G/SPS/N/JPN/424</v>
      </c>
      <c r="O884" s="2"/>
    </row>
    <row r="885" spans="1:15" ht="240" customHeight="1" outlineLevel="1" x14ac:dyDescent="0.25">
      <c r="A885" s="2" t="s">
        <v>115</v>
      </c>
      <c r="B885" s="2" t="s">
        <v>7602</v>
      </c>
      <c r="C885" s="2" t="s">
        <v>7598</v>
      </c>
      <c r="D885" s="2" t="s">
        <v>7603</v>
      </c>
      <c r="E885" s="3">
        <v>42186</v>
      </c>
      <c r="F885" s="2" t="s">
        <v>7604</v>
      </c>
      <c r="G885" s="2" t="s">
        <v>7605</v>
      </c>
      <c r="H885" s="2" t="s">
        <v>2425</v>
      </c>
      <c r="I885" s="2" t="s">
        <v>2453</v>
      </c>
      <c r="J885" s="3">
        <v>42246</v>
      </c>
      <c r="K885" s="2" t="str">
        <f>HYPERLINK("https://docs.wto.org/imrd/directdoc.asp?DDFDocuments/t/G/SPS/NJPN421.DOC")</f>
        <v>https://docs.wto.org/imrd/directdoc.asp?DDFDocuments/t/G/SPS/NJPN421.DOC</v>
      </c>
      <c r="L885" s="2" t="str">
        <f>HYPERLINK("https://docs.wto.org/imrd/directdoc.asp?DDFDocuments/u/G/SPS/NJPN421.DOC")</f>
        <v>https://docs.wto.org/imrd/directdoc.asp?DDFDocuments/u/G/SPS/NJPN421.DOC</v>
      </c>
      <c r="M885" s="2" t="str">
        <f>HYPERLINK("https://docs.wto.org/imrd/directdoc.asp?DDFDocuments/v/G/SPS/NJPN421.DOC")</f>
        <v>https://docs.wto.org/imrd/directdoc.asp?DDFDocuments/v/G/SPS/NJPN421.DOC</v>
      </c>
      <c r="N885" s="2" t="str">
        <f>HYPERLINK("http://www.epingalert.org/#/details/G/SPS/N/JPN/421")</f>
        <v>http://www.epingalert.org/#/details/G/SPS/N/JPN/421</v>
      </c>
      <c r="O885" s="2"/>
    </row>
    <row r="886" spans="1:15" ht="240" customHeight="1" outlineLevel="1" x14ac:dyDescent="0.25">
      <c r="A886" s="2" t="s">
        <v>115</v>
      </c>
      <c r="B886" s="2" t="s">
        <v>7606</v>
      </c>
      <c r="C886" s="2" t="s">
        <v>7598</v>
      </c>
      <c r="D886" s="2" t="s">
        <v>7607</v>
      </c>
      <c r="E886" s="3">
        <v>42186</v>
      </c>
      <c r="F886" s="2" t="s">
        <v>7608</v>
      </c>
      <c r="G886" s="2" t="s">
        <v>7609</v>
      </c>
      <c r="H886" s="2" t="s">
        <v>2425</v>
      </c>
      <c r="I886" s="2" t="s">
        <v>2453</v>
      </c>
      <c r="J886" s="3">
        <v>42246</v>
      </c>
      <c r="K886" s="2" t="str">
        <f>HYPERLINK("https://docs.wto.org/imrd/directdoc.asp?DDFDocuments/t/G/SPS/NJPN422.DOC")</f>
        <v>https://docs.wto.org/imrd/directdoc.asp?DDFDocuments/t/G/SPS/NJPN422.DOC</v>
      </c>
      <c r="L886" s="2" t="str">
        <f>HYPERLINK("https://docs.wto.org/imrd/directdoc.asp?DDFDocuments/u/G/SPS/NJPN422.DOC")</f>
        <v>https://docs.wto.org/imrd/directdoc.asp?DDFDocuments/u/G/SPS/NJPN422.DOC</v>
      </c>
      <c r="M886" s="2" t="str">
        <f>HYPERLINK("https://docs.wto.org/imrd/directdoc.asp?DDFDocuments/v/G/SPS/NJPN422.DOC")</f>
        <v>https://docs.wto.org/imrd/directdoc.asp?DDFDocuments/v/G/SPS/NJPN422.DOC</v>
      </c>
      <c r="N886" s="2" t="str">
        <f>HYPERLINK("http://www.epingalert.org/#/details/G/SPS/N/JPN/422")</f>
        <v>http://www.epingalert.org/#/details/G/SPS/N/JPN/422</v>
      </c>
      <c r="O886" s="2"/>
    </row>
    <row r="887" spans="1:15" ht="240" customHeight="1" outlineLevel="1" x14ac:dyDescent="0.25">
      <c r="A887" s="2" t="s">
        <v>1042</v>
      </c>
      <c r="B887" s="2" t="s">
        <v>7590</v>
      </c>
      <c r="C887" s="2"/>
      <c r="D887" s="2"/>
      <c r="E887" s="3">
        <v>42186</v>
      </c>
      <c r="F887" s="2" t="s">
        <v>7407</v>
      </c>
      <c r="G887" s="2" t="s">
        <v>7591</v>
      </c>
      <c r="H887" s="2" t="s">
        <v>2467</v>
      </c>
      <c r="I887" s="2" t="s">
        <v>7034</v>
      </c>
      <c r="J887" s="2"/>
      <c r="K887" s="2" t="str">
        <f>HYPERLINK("https://docs.wto.org/imrd/directdoc.asp?DDFDocuments/t/G/SPS/NPHL264A1.DOC")</f>
        <v>https://docs.wto.org/imrd/directdoc.asp?DDFDocuments/t/G/SPS/NPHL264A1.DOC</v>
      </c>
      <c r="L887" s="2" t="str">
        <f>HYPERLINK("https://docs.wto.org/imrd/directdoc.asp?DDFDocuments/u/G/SPS/NPHL264A1.DOC")</f>
        <v>https://docs.wto.org/imrd/directdoc.asp?DDFDocuments/u/G/SPS/NPHL264A1.DOC</v>
      </c>
      <c r="M887" s="2" t="str">
        <f>HYPERLINK("https://docs.wto.org/imrd/directdoc.asp?DDFDocuments/v/G/SPS/NPHL264A1.DOC")</f>
        <v>https://docs.wto.org/imrd/directdoc.asp?DDFDocuments/v/G/SPS/NPHL264A1.DOC</v>
      </c>
      <c r="N887" s="2" t="str">
        <f>HYPERLINK("http://www.epingalert.org/#/details/G/SPS/N/PHL/264/Add.1")</f>
        <v>http://www.epingalert.org/#/details/G/SPS/N/PHL/264/Add.1</v>
      </c>
      <c r="O887" s="2"/>
    </row>
    <row r="888" spans="1:15" ht="240" customHeight="1" outlineLevel="1" x14ac:dyDescent="0.25">
      <c r="A888" s="2" t="s">
        <v>12</v>
      </c>
      <c r="B888" s="2" t="s">
        <v>4215</v>
      </c>
      <c r="C888" s="2" t="s">
        <v>4216</v>
      </c>
      <c r="D888" s="2" t="s">
        <v>4217</v>
      </c>
      <c r="E888" s="3">
        <v>42184</v>
      </c>
      <c r="F888" s="2" t="s">
        <v>2451</v>
      </c>
      <c r="G888" s="2" t="s">
        <v>4218</v>
      </c>
      <c r="H888" s="2" t="s">
        <v>2425</v>
      </c>
      <c r="I888" s="2" t="s">
        <v>2453</v>
      </c>
      <c r="J888" s="3">
        <v>42244</v>
      </c>
      <c r="K888" s="2" t="str">
        <f>HYPERLINK("https://docs.wto.org/imrd/directdoc.asp?DDFDocuments/t/G/SPS/NEU136.DOC")</f>
        <v>https://docs.wto.org/imrd/directdoc.asp?DDFDocuments/t/G/SPS/NEU136.DOC</v>
      </c>
      <c r="L888" s="2" t="str">
        <f>HYPERLINK("https://docs.wto.org/imrd/directdoc.asp?DDFDocuments/u/G/SPS/NEU136.DOC")</f>
        <v>https://docs.wto.org/imrd/directdoc.asp?DDFDocuments/u/G/SPS/NEU136.DOC</v>
      </c>
      <c r="M888" s="2" t="str">
        <f>HYPERLINK("https://docs.wto.org/imrd/directdoc.asp?DDFDocuments/v/G/SPS/NEU136.DOC")</f>
        <v>https://docs.wto.org/imrd/directdoc.asp?DDFDocuments/v/G/SPS/NEU136.DOC</v>
      </c>
      <c r="N888" s="2" t="str">
        <f>HYPERLINK("http://www.epingalert.org/#/details/G/SPS/N/EU/136")</f>
        <v>http://www.epingalert.org/#/details/G/SPS/N/EU/136</v>
      </c>
      <c r="O888" s="2"/>
    </row>
    <row r="889" spans="1:15" ht="240" customHeight="1" outlineLevel="1" x14ac:dyDescent="0.25">
      <c r="A889" s="2" t="s">
        <v>173</v>
      </c>
      <c r="B889" s="2" t="s">
        <v>4219</v>
      </c>
      <c r="C889" s="2" t="s">
        <v>4220</v>
      </c>
      <c r="D889" s="2" t="s">
        <v>4221</v>
      </c>
      <c r="E889" s="3">
        <v>42184</v>
      </c>
      <c r="F889" s="2" t="s">
        <v>4222</v>
      </c>
      <c r="G889" s="2"/>
      <c r="H889" s="2" t="s">
        <v>2425</v>
      </c>
      <c r="I889" s="2" t="s">
        <v>2461</v>
      </c>
      <c r="J889" s="3">
        <v>42244</v>
      </c>
      <c r="K889" s="2" t="str">
        <f>HYPERLINK("https://docs.wto.org/imrd/directdoc.asp?DDFDocuments/t/G/SPS/NSAU166.DOC")</f>
        <v>https://docs.wto.org/imrd/directdoc.asp?DDFDocuments/t/G/SPS/NSAU166.DOC</v>
      </c>
      <c r="L889" s="2" t="str">
        <f>HYPERLINK("https://docs.wto.org/imrd/directdoc.asp?DDFDocuments/u/G/SPS/NSAU166.DOC")</f>
        <v>https://docs.wto.org/imrd/directdoc.asp?DDFDocuments/u/G/SPS/NSAU166.DOC</v>
      </c>
      <c r="M889" s="2" t="str">
        <f>HYPERLINK("https://docs.wto.org/imrd/directdoc.asp?DDFDocuments/v/G/SPS/NSAU166.DOC")</f>
        <v>https://docs.wto.org/imrd/directdoc.asp?DDFDocuments/v/G/SPS/NSAU166.DOC</v>
      </c>
      <c r="N889" s="2" t="str">
        <f>HYPERLINK("http://www.epingalert.org/#/details/G/SPS/N/SAU/166")</f>
        <v>http://www.epingalert.org/#/details/G/SPS/N/SAU/166</v>
      </c>
      <c r="O889" s="2"/>
    </row>
    <row r="890" spans="1:15" ht="240" customHeight="1" outlineLevel="1" x14ac:dyDescent="0.25">
      <c r="A890" s="2" t="s">
        <v>173</v>
      </c>
      <c r="B890" s="2" t="s">
        <v>4223</v>
      </c>
      <c r="C890" s="2" t="s">
        <v>4224</v>
      </c>
      <c r="D890" s="2" t="s">
        <v>4225</v>
      </c>
      <c r="E890" s="3">
        <v>42184</v>
      </c>
      <c r="F890" s="2" t="s">
        <v>4226</v>
      </c>
      <c r="G890" s="2" t="s">
        <v>3505</v>
      </c>
      <c r="H890" s="2" t="s">
        <v>2425</v>
      </c>
      <c r="I890" s="2" t="s">
        <v>3088</v>
      </c>
      <c r="J890" s="3">
        <v>42244</v>
      </c>
      <c r="K890" s="2" t="str">
        <f>HYPERLINK("https://docs.wto.org/imrd/directdoc.asp?DDFDocuments/t/G/SPS/NSAU164.DOC")</f>
        <v>https://docs.wto.org/imrd/directdoc.asp?DDFDocuments/t/G/SPS/NSAU164.DOC</v>
      </c>
      <c r="L890" s="2" t="str">
        <f>HYPERLINK("https://docs.wto.org/imrd/directdoc.asp?DDFDocuments/u/G/SPS/NSAU164.DOC")</f>
        <v>https://docs.wto.org/imrd/directdoc.asp?DDFDocuments/u/G/SPS/NSAU164.DOC</v>
      </c>
      <c r="M890" s="2" t="str">
        <f>HYPERLINK("https://docs.wto.org/imrd/directdoc.asp?DDFDocuments/v/G/SPS/NSAU164.DOC")</f>
        <v>https://docs.wto.org/imrd/directdoc.asp?DDFDocuments/v/G/SPS/NSAU164.DOC</v>
      </c>
      <c r="N890" s="2" t="str">
        <f>HYPERLINK("http://www.epingalert.org/#/details/G/SPS/N/SAU/164")</f>
        <v>http://www.epingalert.org/#/details/G/SPS/N/SAU/164</v>
      </c>
      <c r="O890" s="2"/>
    </row>
    <row r="891" spans="1:15" ht="240" customHeight="1" outlineLevel="1" x14ac:dyDescent="0.25">
      <c r="A891" s="2" t="s">
        <v>12</v>
      </c>
      <c r="B891" s="2" t="s">
        <v>4227</v>
      </c>
      <c r="C891" s="2" t="s">
        <v>4228</v>
      </c>
      <c r="D891" s="2" t="s">
        <v>4229</v>
      </c>
      <c r="E891" s="3">
        <v>42184</v>
      </c>
      <c r="F891" s="2" t="s">
        <v>2451</v>
      </c>
      <c r="G891" s="2" t="s">
        <v>4230</v>
      </c>
      <c r="H891" s="2" t="s">
        <v>2425</v>
      </c>
      <c r="I891" s="2" t="s">
        <v>2453</v>
      </c>
      <c r="J891" s="3">
        <v>42244</v>
      </c>
      <c r="K891" s="2" t="str">
        <f>HYPERLINK("https://docs.wto.org/imrd/directdoc.asp?DDFDocuments/t/G/SPS/NEU133.DOC")</f>
        <v>https://docs.wto.org/imrd/directdoc.asp?DDFDocuments/t/G/SPS/NEU133.DOC</v>
      </c>
      <c r="L891" s="2" t="str">
        <f>HYPERLINK("https://docs.wto.org/imrd/directdoc.asp?DDFDocuments/u/G/SPS/NEU133.DOC")</f>
        <v>https://docs.wto.org/imrd/directdoc.asp?DDFDocuments/u/G/SPS/NEU133.DOC</v>
      </c>
      <c r="M891" s="2" t="str">
        <f>HYPERLINK("https://docs.wto.org/imrd/directdoc.asp?DDFDocuments/v/G/SPS/NEU133.DOC")</f>
        <v>https://docs.wto.org/imrd/directdoc.asp?DDFDocuments/v/G/SPS/NEU133.DOC</v>
      </c>
      <c r="N891" s="2" t="str">
        <f>HYPERLINK("http://www.epingalert.org/#/details/G/SPS/N/EU/133")</f>
        <v>http://www.epingalert.org/#/details/G/SPS/N/EU/133</v>
      </c>
      <c r="O891" s="2"/>
    </row>
    <row r="892" spans="1:15" ht="240" customHeight="1" outlineLevel="1" x14ac:dyDescent="0.25">
      <c r="A892" s="2" t="s">
        <v>12</v>
      </c>
      <c r="B892" s="2" t="s">
        <v>7613</v>
      </c>
      <c r="C892" s="2" t="s">
        <v>7614</v>
      </c>
      <c r="D892" s="2" t="s">
        <v>7615</v>
      </c>
      <c r="E892" s="3">
        <v>42184</v>
      </c>
      <c r="F892" s="2" t="s">
        <v>7075</v>
      </c>
      <c r="G892" s="2" t="s">
        <v>2039</v>
      </c>
      <c r="H892" s="2" t="s">
        <v>2425</v>
      </c>
      <c r="I892" s="2" t="s">
        <v>7616</v>
      </c>
      <c r="J892" s="3">
        <v>42244</v>
      </c>
      <c r="K892" s="2" t="str">
        <f>HYPERLINK("https://docs.wto.org/imrd/directdoc.asp?DDFDocuments/t/G/SPS/NEU135.DOC")</f>
        <v>https://docs.wto.org/imrd/directdoc.asp?DDFDocuments/t/G/SPS/NEU135.DOC</v>
      </c>
      <c r="L892" s="2" t="str">
        <f>HYPERLINK("https://docs.wto.org/imrd/directdoc.asp?DDFDocuments/u/G/SPS/NEU135.DOC")</f>
        <v>https://docs.wto.org/imrd/directdoc.asp?DDFDocuments/u/G/SPS/NEU135.DOC</v>
      </c>
      <c r="M892" s="2" t="str">
        <f>HYPERLINK("https://docs.wto.org/imrd/directdoc.asp?DDFDocuments/v/G/SPS/NEU135.DOC")</f>
        <v>https://docs.wto.org/imrd/directdoc.asp?DDFDocuments/v/G/SPS/NEU135.DOC</v>
      </c>
      <c r="N892" s="2" t="str">
        <f>HYPERLINK("http://www.epingalert.org/#/details/G/SPS/N/EU/135")</f>
        <v>http://www.epingalert.org/#/details/G/SPS/N/EU/135</v>
      </c>
      <c r="O892" s="2"/>
    </row>
    <row r="893" spans="1:15" ht="240" customHeight="1" outlineLevel="1" x14ac:dyDescent="0.25">
      <c r="A893" s="2" t="s">
        <v>173</v>
      </c>
      <c r="B893" s="2" t="s">
        <v>7617</v>
      </c>
      <c r="C893" s="2" t="s">
        <v>7618</v>
      </c>
      <c r="D893" s="2" t="s">
        <v>7619</v>
      </c>
      <c r="E893" s="3">
        <v>42184</v>
      </c>
      <c r="F893" s="2" t="s">
        <v>6862</v>
      </c>
      <c r="G893" s="2" t="s">
        <v>2292</v>
      </c>
      <c r="H893" s="2" t="s">
        <v>2425</v>
      </c>
      <c r="I893" s="2" t="s">
        <v>2558</v>
      </c>
      <c r="J893" s="3">
        <v>42244</v>
      </c>
      <c r="K893" s="2" t="str">
        <f>HYPERLINK("https://docs.wto.org/imrd/directdoc.asp?DDFDocuments/t/G/SPS/NSAU165.DOC")</f>
        <v>https://docs.wto.org/imrd/directdoc.asp?DDFDocuments/t/G/SPS/NSAU165.DOC</v>
      </c>
      <c r="L893" s="2" t="str">
        <f>HYPERLINK("https://docs.wto.org/imrd/directdoc.asp?DDFDocuments/u/G/SPS/NSAU165.DOC")</f>
        <v>https://docs.wto.org/imrd/directdoc.asp?DDFDocuments/u/G/SPS/NSAU165.DOC</v>
      </c>
      <c r="M893" s="2" t="str">
        <f>HYPERLINK("https://docs.wto.org/imrd/directdoc.asp?DDFDocuments/v/G/SPS/NSAU165.DOC")</f>
        <v>https://docs.wto.org/imrd/directdoc.asp?DDFDocuments/v/G/SPS/NSAU165.DOC</v>
      </c>
      <c r="N893" s="2" t="str">
        <f>HYPERLINK("http://www.epingalert.org/#/details/G/SPS/N/SAU/165")</f>
        <v>http://www.epingalert.org/#/details/G/SPS/N/SAU/165</v>
      </c>
      <c r="O893" s="2"/>
    </row>
    <row r="894" spans="1:15" ht="240" customHeight="1" outlineLevel="1" x14ac:dyDescent="0.25">
      <c r="A894" s="2" t="s">
        <v>12</v>
      </c>
      <c r="B894" s="2" t="s">
        <v>7610</v>
      </c>
      <c r="C894" s="2" t="s">
        <v>7611</v>
      </c>
      <c r="D894" s="2" t="s">
        <v>7612</v>
      </c>
      <c r="E894" s="3">
        <v>42184</v>
      </c>
      <c r="F894" s="2" t="s">
        <v>7234</v>
      </c>
      <c r="G894" s="2" t="s">
        <v>2039</v>
      </c>
      <c r="H894" s="2" t="s">
        <v>2425</v>
      </c>
      <c r="I894" s="2" t="s">
        <v>4313</v>
      </c>
      <c r="J894" s="2"/>
      <c r="K894" s="2" t="str">
        <f>HYPERLINK("https://docs.wto.org/imrd/directdoc.asp?DDFDocuments/t/G/SPS/NEU134.DOC")</f>
        <v>https://docs.wto.org/imrd/directdoc.asp?DDFDocuments/t/G/SPS/NEU134.DOC</v>
      </c>
      <c r="L894" s="2" t="str">
        <f>HYPERLINK("https://docs.wto.org/imrd/directdoc.asp?DDFDocuments/u/G/SPS/NEU134.DOC")</f>
        <v>https://docs.wto.org/imrd/directdoc.asp?DDFDocuments/u/G/SPS/NEU134.DOC</v>
      </c>
      <c r="M894" s="2" t="str">
        <f>HYPERLINK("https://docs.wto.org/imrd/directdoc.asp?DDFDocuments/v/G/SPS/NEU134.DOC")</f>
        <v>https://docs.wto.org/imrd/directdoc.asp?DDFDocuments/v/G/SPS/NEU134.DOC</v>
      </c>
      <c r="N894" s="2" t="str">
        <f>HYPERLINK("http://www.epingalert.org/#/details/G/SPS/N/EU/134")</f>
        <v>http://www.epingalert.org/#/details/G/SPS/N/EU/134</v>
      </c>
      <c r="O894" s="2"/>
    </row>
    <row r="895" spans="1:15" ht="240" customHeight="1" outlineLevel="1" x14ac:dyDescent="0.25">
      <c r="A895" s="2" t="s">
        <v>211</v>
      </c>
      <c r="B895" s="2" t="s">
        <v>4231</v>
      </c>
      <c r="C895" s="2" t="s">
        <v>4232</v>
      </c>
      <c r="D895" s="2" t="s">
        <v>4233</v>
      </c>
      <c r="E895" s="3">
        <v>42181</v>
      </c>
      <c r="F895" s="2" t="s">
        <v>4234</v>
      </c>
      <c r="G895" s="2"/>
      <c r="H895" s="2" t="s">
        <v>2425</v>
      </c>
      <c r="I895" s="2" t="s">
        <v>2453</v>
      </c>
      <c r="J895" s="3">
        <v>42241</v>
      </c>
      <c r="K895" s="2" t="str">
        <f>HYPERLINK("https://docs.wto.org/imrd/directdoc.asp?DDFDocuments/t/G/SPS/NNZL519.DOC")</f>
        <v>https://docs.wto.org/imrd/directdoc.asp?DDFDocuments/t/G/SPS/NNZL519.DOC</v>
      </c>
      <c r="L895" s="2" t="str">
        <f>HYPERLINK("https://docs.wto.org/imrd/directdoc.asp?DDFDocuments/u/G/SPS/NNZL519.DOC")</f>
        <v>https://docs.wto.org/imrd/directdoc.asp?DDFDocuments/u/G/SPS/NNZL519.DOC</v>
      </c>
      <c r="M895" s="2" t="str">
        <f>HYPERLINK("https://docs.wto.org/imrd/directdoc.asp?DDFDocuments/v/G/SPS/NNZL519.DOC")</f>
        <v>https://docs.wto.org/imrd/directdoc.asp?DDFDocuments/v/G/SPS/NNZL519.DOC</v>
      </c>
      <c r="N895" s="2" t="str">
        <f>HYPERLINK("http://www.epingalert.org/#/details/G/SPS/N/NZL/519")</f>
        <v>http://www.epingalert.org/#/details/G/SPS/N/NZL/519</v>
      </c>
      <c r="O895" s="2"/>
    </row>
    <row r="896" spans="1:15" ht="240" customHeight="1" outlineLevel="1" x14ac:dyDescent="0.25">
      <c r="A896" s="2" t="s">
        <v>173</v>
      </c>
      <c r="B896" s="2" t="s">
        <v>7620</v>
      </c>
      <c r="C896" s="2" t="s">
        <v>7621</v>
      </c>
      <c r="D896" s="2" t="s">
        <v>7622</v>
      </c>
      <c r="E896" s="3">
        <v>42181</v>
      </c>
      <c r="F896" s="2" t="s">
        <v>7623</v>
      </c>
      <c r="G896" s="2" t="s">
        <v>2790</v>
      </c>
      <c r="H896" s="2" t="s">
        <v>2425</v>
      </c>
      <c r="I896" s="2" t="s">
        <v>2461</v>
      </c>
      <c r="J896" s="3">
        <v>42241</v>
      </c>
      <c r="K896" s="2" t="str">
        <f>HYPERLINK("https://docs.wto.org/imrd/directdoc.asp?DDFDocuments/t/G/SPS/NSAU162.DOC")</f>
        <v>https://docs.wto.org/imrd/directdoc.asp?DDFDocuments/t/G/SPS/NSAU162.DOC</v>
      </c>
      <c r="L896" s="2" t="str">
        <f>HYPERLINK("https://docs.wto.org/imrd/directdoc.asp?DDFDocuments/u/G/SPS/NSAU162.DOC")</f>
        <v>https://docs.wto.org/imrd/directdoc.asp?DDFDocuments/u/G/SPS/NSAU162.DOC</v>
      </c>
      <c r="M896" s="2" t="str">
        <f>HYPERLINK("https://docs.wto.org/imrd/directdoc.asp?DDFDocuments/v/G/SPS/NSAU162.DOC")</f>
        <v>https://docs.wto.org/imrd/directdoc.asp?DDFDocuments/v/G/SPS/NSAU162.DOC</v>
      </c>
      <c r="N896" s="2" t="str">
        <f>HYPERLINK("http://www.epingalert.org/#/details/G/SPS/N/SAU/162")</f>
        <v>http://www.epingalert.org/#/details/G/SPS/N/SAU/162</v>
      </c>
      <c r="O896" s="2"/>
    </row>
    <row r="897" spans="1:15" ht="240" customHeight="1" outlineLevel="1" x14ac:dyDescent="0.25">
      <c r="A897" s="2" t="s">
        <v>173</v>
      </c>
      <c r="B897" s="2" t="s">
        <v>7624</v>
      </c>
      <c r="C897" s="2" t="s">
        <v>7625</v>
      </c>
      <c r="D897" s="2" t="s">
        <v>7583</v>
      </c>
      <c r="E897" s="3">
        <v>42181</v>
      </c>
      <c r="F897" s="2" t="s">
        <v>7584</v>
      </c>
      <c r="G897" s="2" t="s">
        <v>6847</v>
      </c>
      <c r="H897" s="2" t="s">
        <v>2425</v>
      </c>
      <c r="I897" s="2" t="s">
        <v>2461</v>
      </c>
      <c r="J897" s="3">
        <v>42241</v>
      </c>
      <c r="K897" s="2" t="str">
        <f>HYPERLINK("https://docs.wto.org/imrd/directdoc.asp?DDFDocuments/t/G/SPS/NSAU163.DOC")</f>
        <v>https://docs.wto.org/imrd/directdoc.asp?DDFDocuments/t/G/SPS/NSAU163.DOC</v>
      </c>
      <c r="L897" s="2" t="str">
        <f>HYPERLINK("https://docs.wto.org/imrd/directdoc.asp?DDFDocuments/u/G/SPS/NSAU163.DOC")</f>
        <v>https://docs.wto.org/imrd/directdoc.asp?DDFDocuments/u/G/SPS/NSAU163.DOC</v>
      </c>
      <c r="M897" s="2" t="str">
        <f>HYPERLINK("https://docs.wto.org/imrd/directdoc.asp?DDFDocuments/v/G/SPS/NSAU163.DOC")</f>
        <v>https://docs.wto.org/imrd/directdoc.asp?DDFDocuments/v/G/SPS/NSAU163.DOC</v>
      </c>
      <c r="N897" s="2" t="str">
        <f>HYPERLINK("http://www.epingalert.org/#/details/G/SPS/N/SAU/163")</f>
        <v>http://www.epingalert.org/#/details/G/SPS/N/SAU/163</v>
      </c>
      <c r="O897" s="2"/>
    </row>
    <row r="898" spans="1:15" ht="240" customHeight="1" outlineLevel="1" x14ac:dyDescent="0.25">
      <c r="A898" s="2" t="s">
        <v>77</v>
      </c>
      <c r="B898" s="2" t="s">
        <v>4236</v>
      </c>
      <c r="C898" s="2" t="s">
        <v>4237</v>
      </c>
      <c r="D898" s="2" t="s">
        <v>4238</v>
      </c>
      <c r="E898" s="3">
        <v>42178</v>
      </c>
      <c r="F898" s="2" t="s">
        <v>4239</v>
      </c>
      <c r="G898" s="2" t="s">
        <v>4240</v>
      </c>
      <c r="H898" s="2" t="s">
        <v>2425</v>
      </c>
      <c r="I898" s="2" t="s">
        <v>2461</v>
      </c>
      <c r="J898" s="3">
        <v>42226</v>
      </c>
      <c r="K898" s="2" t="str">
        <f>HYPERLINK("https://docs.wto.org/imrd/directdoc.asp?DDFDocuments/t/G/SPS/NTPKM358.DOC")</f>
        <v>https://docs.wto.org/imrd/directdoc.asp?DDFDocuments/t/G/SPS/NTPKM358.DOC</v>
      </c>
      <c r="L898" s="2" t="str">
        <f>HYPERLINK("https://docs.wto.org/imrd/directdoc.asp?DDFDocuments/u/G/SPS/NTPKM358.DOC")</f>
        <v>https://docs.wto.org/imrd/directdoc.asp?DDFDocuments/u/G/SPS/NTPKM358.DOC</v>
      </c>
      <c r="M898" s="2" t="str">
        <f>HYPERLINK("https://docs.wto.org/imrd/directdoc.asp?DDFDocuments/v/G/SPS/NTPKM358.DOC")</f>
        <v>https://docs.wto.org/imrd/directdoc.asp?DDFDocuments/v/G/SPS/NTPKM358.DOC</v>
      </c>
      <c r="N898" s="2" t="str">
        <f>HYPERLINK("http://www.epingalert.org/#/details/G/SPS/N/TPKM/358")</f>
        <v>http://www.epingalert.org/#/details/G/SPS/N/TPKM/358</v>
      </c>
      <c r="O898" s="2"/>
    </row>
    <row r="899" spans="1:15" ht="240" customHeight="1" outlineLevel="1" x14ac:dyDescent="0.25">
      <c r="A899" s="2" t="s">
        <v>42</v>
      </c>
      <c r="B899" s="2" t="s">
        <v>4241</v>
      </c>
      <c r="C899" s="2" t="s">
        <v>4242</v>
      </c>
      <c r="D899" s="2" t="s">
        <v>4243</v>
      </c>
      <c r="E899" s="3">
        <v>42178</v>
      </c>
      <c r="F899" s="2" t="s">
        <v>4244</v>
      </c>
      <c r="G899" s="2"/>
      <c r="H899" s="2" t="s">
        <v>2425</v>
      </c>
      <c r="I899" s="2" t="s">
        <v>2453</v>
      </c>
      <c r="J899" s="3">
        <v>42195</v>
      </c>
      <c r="K899" s="2" t="str">
        <f>HYPERLINK("https://docs.wto.org/imrd/directdoc.asp?DDFDocuments/t/G/SPS/NBRA1052.DOC")</f>
        <v>https://docs.wto.org/imrd/directdoc.asp?DDFDocuments/t/G/SPS/NBRA1052.DOC</v>
      </c>
      <c r="L899" s="2" t="str">
        <f>HYPERLINK("https://docs.wto.org/imrd/directdoc.asp?DDFDocuments/u/G/SPS/NBRA1052.DOC")</f>
        <v>https://docs.wto.org/imrd/directdoc.asp?DDFDocuments/u/G/SPS/NBRA1052.DOC</v>
      </c>
      <c r="M899" s="2" t="str">
        <f>HYPERLINK("https://docs.wto.org/imrd/directdoc.asp?DDFDocuments/v/G/SPS/NBRA1052.DOC")</f>
        <v>https://docs.wto.org/imrd/directdoc.asp?DDFDocuments/v/G/SPS/NBRA1052.DOC</v>
      </c>
      <c r="N899" s="2" t="str">
        <f>HYPERLINK("http://www.epingalert.org/#/details/G/SPS/N/BRA/1052")</f>
        <v>http://www.epingalert.org/#/details/G/SPS/N/BRA/1052</v>
      </c>
      <c r="O899" s="2"/>
    </row>
    <row r="900" spans="1:15" ht="240" customHeight="1" outlineLevel="1" x14ac:dyDescent="0.25">
      <c r="A900" s="2" t="s">
        <v>42</v>
      </c>
      <c r="B900" s="2" t="s">
        <v>4245</v>
      </c>
      <c r="C900" s="2" t="s">
        <v>4246</v>
      </c>
      <c r="D900" s="2" t="s">
        <v>4247</v>
      </c>
      <c r="E900" s="3">
        <v>42178</v>
      </c>
      <c r="F900" s="2" t="s">
        <v>4247</v>
      </c>
      <c r="G900" s="2"/>
      <c r="H900" s="2" t="s">
        <v>2425</v>
      </c>
      <c r="I900" s="2" t="s">
        <v>2453</v>
      </c>
      <c r="J900" s="3">
        <v>42195</v>
      </c>
      <c r="K900" s="2" t="str">
        <f>HYPERLINK("https://docs.wto.org/imrd/directdoc.asp?DDFDocuments/t/G/SPS/NBRA1049.DOC")</f>
        <v>https://docs.wto.org/imrd/directdoc.asp?DDFDocuments/t/G/SPS/NBRA1049.DOC</v>
      </c>
      <c r="L900" s="2" t="str">
        <f>HYPERLINK("https://docs.wto.org/imrd/directdoc.asp?DDFDocuments/u/G/SPS/NBRA1049.DOC")</f>
        <v>https://docs.wto.org/imrd/directdoc.asp?DDFDocuments/u/G/SPS/NBRA1049.DOC</v>
      </c>
      <c r="M900" s="2" t="str">
        <f>HYPERLINK("https://docs.wto.org/imrd/directdoc.asp?DDFDocuments/v/G/SPS/NBRA1049.DOC")</f>
        <v>https://docs.wto.org/imrd/directdoc.asp?DDFDocuments/v/G/SPS/NBRA1049.DOC</v>
      </c>
      <c r="N900" s="2" t="str">
        <f>HYPERLINK("http://www.epingalert.org/#/details/G/SPS/N/BRA/1049")</f>
        <v>http://www.epingalert.org/#/details/G/SPS/N/BRA/1049</v>
      </c>
      <c r="O900" s="2"/>
    </row>
    <row r="901" spans="1:15" ht="240" customHeight="1" outlineLevel="1" x14ac:dyDescent="0.25">
      <c r="A901" s="2" t="s">
        <v>77</v>
      </c>
      <c r="B901" s="2" t="s">
        <v>4235</v>
      </c>
      <c r="C901" s="2"/>
      <c r="D901" s="2"/>
      <c r="E901" s="3">
        <v>42178</v>
      </c>
      <c r="F901" s="2" t="s">
        <v>2435</v>
      </c>
      <c r="G901" s="2"/>
      <c r="H901" s="2" t="s">
        <v>2425</v>
      </c>
      <c r="I901" s="2" t="s">
        <v>2444</v>
      </c>
      <c r="J901" s="2"/>
      <c r="K901" s="2" t="str">
        <f>HYPERLINK("https://docs.wto.org/imrd/directdoc.asp?DDFDocuments/t/G/SPS/NTPKM351A1.DOC")</f>
        <v>https://docs.wto.org/imrd/directdoc.asp?DDFDocuments/t/G/SPS/NTPKM351A1.DOC</v>
      </c>
      <c r="L901" s="2" t="str">
        <f>HYPERLINK("https://docs.wto.org/imrd/directdoc.asp?DDFDocuments/u/G/SPS/NTPKM351A1.DOC")</f>
        <v>https://docs.wto.org/imrd/directdoc.asp?DDFDocuments/u/G/SPS/NTPKM351A1.DOC</v>
      </c>
      <c r="M901" s="2" t="str">
        <f>HYPERLINK("https://docs.wto.org/imrd/directdoc.asp?DDFDocuments/v/G/SPS/NTPKM351A1.DOC")</f>
        <v>https://docs.wto.org/imrd/directdoc.asp?DDFDocuments/v/G/SPS/NTPKM351A1.DOC</v>
      </c>
      <c r="N901" s="2" t="str">
        <f>HYPERLINK("http://www.epingalert.org/#/details/G/SPS/N/TPKM/351/Add.1")</f>
        <v>http://www.epingalert.org/#/details/G/SPS/N/TPKM/351/Add.1</v>
      </c>
      <c r="O901" s="2"/>
    </row>
    <row r="902" spans="1:15" ht="240" customHeight="1" outlineLevel="1" x14ac:dyDescent="0.25">
      <c r="A902" s="2" t="s">
        <v>1042</v>
      </c>
      <c r="B902" s="2" t="s">
        <v>7631</v>
      </c>
      <c r="C902" s="2" t="s">
        <v>7632</v>
      </c>
      <c r="D902" s="2" t="s">
        <v>7633</v>
      </c>
      <c r="E902" s="3">
        <v>42177</v>
      </c>
      <c r="F902" s="2" t="s">
        <v>7634</v>
      </c>
      <c r="G902" s="2" t="s">
        <v>7635</v>
      </c>
      <c r="H902" s="2" t="s">
        <v>2425</v>
      </c>
      <c r="I902" s="2" t="s">
        <v>2447</v>
      </c>
      <c r="J902" s="3">
        <v>42240</v>
      </c>
      <c r="K902" s="2" t="str">
        <f>HYPERLINK("https://docs.wto.org/imrd/directdoc.asp?DDFDocuments/t/G/SPS/NPHL302.DOC")</f>
        <v>https://docs.wto.org/imrd/directdoc.asp?DDFDocuments/t/G/SPS/NPHL302.DOC</v>
      </c>
      <c r="L902" s="2" t="str">
        <f>HYPERLINK("https://docs.wto.org/imrd/directdoc.asp?DDFDocuments/u/G/SPS/NPHL302.DOC")</f>
        <v>https://docs.wto.org/imrd/directdoc.asp?DDFDocuments/u/G/SPS/NPHL302.DOC</v>
      </c>
      <c r="M902" s="2" t="str">
        <f>HYPERLINK("https://docs.wto.org/imrd/directdoc.asp?DDFDocuments/v/G/SPS/NPHL302.DOC")</f>
        <v>https://docs.wto.org/imrd/directdoc.asp?DDFDocuments/v/G/SPS/NPHL302.DOC</v>
      </c>
      <c r="N902" s="2" t="str">
        <f>HYPERLINK("http://www.epingalert.org/#/details/G/SPS/N/PHL/302")</f>
        <v>http://www.epingalert.org/#/details/G/SPS/N/PHL/302</v>
      </c>
      <c r="O902" s="2"/>
    </row>
    <row r="903" spans="1:15" ht="240" customHeight="1" outlineLevel="1" x14ac:dyDescent="0.25">
      <c r="A903" s="2" t="s">
        <v>121</v>
      </c>
      <c r="B903" s="2" t="s">
        <v>4248</v>
      </c>
      <c r="C903" s="2" t="s">
        <v>4249</v>
      </c>
      <c r="D903" s="2" t="s">
        <v>4250</v>
      </c>
      <c r="E903" s="3">
        <v>42177</v>
      </c>
      <c r="F903" s="2" t="s">
        <v>4251</v>
      </c>
      <c r="G903" s="2"/>
      <c r="H903" s="2" t="s">
        <v>2425</v>
      </c>
      <c r="I903" s="2" t="s">
        <v>2461</v>
      </c>
      <c r="J903" s="3">
        <v>42237</v>
      </c>
      <c r="K903" s="2" t="str">
        <f>HYPERLINK("https://docs.wto.org/imrd/directdoc.asp?DDFDocuments/t/G/SPS/NIND106.DOC")</f>
        <v>https://docs.wto.org/imrd/directdoc.asp?DDFDocuments/t/G/SPS/NIND106.DOC</v>
      </c>
      <c r="L903" s="2" t="str">
        <f>HYPERLINK("https://docs.wto.org/imrd/directdoc.asp?DDFDocuments/u/G/SPS/NIND106.DOC")</f>
        <v>https://docs.wto.org/imrd/directdoc.asp?DDFDocuments/u/G/SPS/NIND106.DOC</v>
      </c>
      <c r="M903" s="2" t="str">
        <f>HYPERLINK("https://docs.wto.org/imrd/directdoc.asp?DDFDocuments/v/G/SPS/NIND106.DOC")</f>
        <v>https://docs.wto.org/imrd/directdoc.asp?DDFDocuments/v/G/SPS/NIND106.DOC</v>
      </c>
      <c r="N903" s="2" t="str">
        <f>HYPERLINK("http://www.epingalert.org/#/details/G/SPS/N/IND/106")</f>
        <v>http://www.epingalert.org/#/details/G/SPS/N/IND/106</v>
      </c>
      <c r="O903" s="2"/>
    </row>
    <row r="904" spans="1:15" ht="240" customHeight="1" outlineLevel="1" x14ac:dyDescent="0.25">
      <c r="A904" s="2" t="s">
        <v>37</v>
      </c>
      <c r="B904" s="2" t="s">
        <v>4255</v>
      </c>
      <c r="C904" s="2" t="s">
        <v>4256</v>
      </c>
      <c r="D904" s="2" t="s">
        <v>4257</v>
      </c>
      <c r="E904" s="3">
        <v>42177</v>
      </c>
      <c r="F904" s="2" t="s">
        <v>4258</v>
      </c>
      <c r="G904" s="2" t="s">
        <v>4259</v>
      </c>
      <c r="H904" s="2" t="s">
        <v>2425</v>
      </c>
      <c r="I904" s="2" t="s">
        <v>2461</v>
      </c>
      <c r="J904" s="3">
        <v>42237</v>
      </c>
      <c r="K904" s="2" t="str">
        <f>HYPERLINK("https://docs.wto.org/imrd/directdoc.asp?DDFDocuments/t/G/SPS/NTUR61.DOC")</f>
        <v>https://docs.wto.org/imrd/directdoc.asp?DDFDocuments/t/G/SPS/NTUR61.DOC</v>
      </c>
      <c r="L904" s="2" t="str">
        <f>HYPERLINK("https://docs.wto.org/imrd/directdoc.asp?DDFDocuments/u/G/SPS/NTUR61.DOC")</f>
        <v>https://docs.wto.org/imrd/directdoc.asp?DDFDocuments/u/G/SPS/NTUR61.DOC</v>
      </c>
      <c r="M904" s="2" t="str">
        <f>HYPERLINK("https://docs.wto.org/imrd/directdoc.asp?DDFDocuments/v/G/SPS/NTUR61.DOC")</f>
        <v>https://docs.wto.org/imrd/directdoc.asp?DDFDocuments/v/G/SPS/NTUR61.DOC</v>
      </c>
      <c r="N904" s="2" t="str">
        <f>HYPERLINK("http://www.epingalert.org/#/details/G/SPS/N/TUR/61")</f>
        <v>http://www.epingalert.org/#/details/G/SPS/N/TUR/61</v>
      </c>
      <c r="O904" s="2"/>
    </row>
    <row r="905" spans="1:15" ht="240" customHeight="1" outlineLevel="1" x14ac:dyDescent="0.25">
      <c r="A905" s="2" t="s">
        <v>225</v>
      </c>
      <c r="B905" s="2" t="s">
        <v>4252</v>
      </c>
      <c r="C905" s="2" t="s">
        <v>4253</v>
      </c>
      <c r="D905" s="2" t="s">
        <v>2494</v>
      </c>
      <c r="E905" s="3">
        <v>42177</v>
      </c>
      <c r="F905" s="2" t="s">
        <v>2430</v>
      </c>
      <c r="G905" s="2"/>
      <c r="H905" s="2" t="s">
        <v>2425</v>
      </c>
      <c r="I905" s="2" t="s">
        <v>4254</v>
      </c>
      <c r="J905" s="3">
        <v>42236</v>
      </c>
      <c r="K905" s="2" t="str">
        <f>HYPERLINK("https://docs.wto.org/imrd/directdoc.asp?DDFDocuments/t/G/SPS/NAUS362.DOC")</f>
        <v>https://docs.wto.org/imrd/directdoc.asp?DDFDocuments/t/G/SPS/NAUS362.DOC</v>
      </c>
      <c r="L905" s="2" t="str">
        <f>HYPERLINK("https://docs.wto.org/imrd/directdoc.asp?DDFDocuments/u/G/SPS/NAUS362.DOC")</f>
        <v>https://docs.wto.org/imrd/directdoc.asp?DDFDocuments/u/G/SPS/NAUS362.DOC</v>
      </c>
      <c r="M905" s="2" t="str">
        <f>HYPERLINK("https://docs.wto.org/imrd/directdoc.asp?DDFDocuments/v/G/SPS/NAUS362.DOC")</f>
        <v>https://docs.wto.org/imrd/directdoc.asp?DDFDocuments/v/G/SPS/NAUS362.DOC</v>
      </c>
      <c r="N905" s="2" t="str">
        <f>HYPERLINK("http://www.epingalert.org/#/details/G/SPS/N/AUS/362")</f>
        <v>http://www.epingalert.org/#/details/G/SPS/N/AUS/362</v>
      </c>
      <c r="O905" s="2"/>
    </row>
    <row r="906" spans="1:15" ht="240" customHeight="1" outlineLevel="1" x14ac:dyDescent="0.25">
      <c r="A906" s="2" t="s">
        <v>18</v>
      </c>
      <c r="B906" s="2" t="s">
        <v>4260</v>
      </c>
      <c r="C906" s="2" t="s">
        <v>4261</v>
      </c>
      <c r="D906" s="2" t="s">
        <v>4262</v>
      </c>
      <c r="E906" s="3">
        <v>42177</v>
      </c>
      <c r="F906" s="2" t="s">
        <v>4263</v>
      </c>
      <c r="G906" s="2" t="s">
        <v>4108</v>
      </c>
      <c r="H906" s="2" t="s">
        <v>2425</v>
      </c>
      <c r="I906" s="2" t="s">
        <v>2461</v>
      </c>
      <c r="J906" s="2"/>
      <c r="K906" s="2" t="str">
        <f>HYPERLINK("https://docs.wto.org/imrd/directdoc.asp?DDFDocuments/t/G/SPS/NUSA2766.DOC")</f>
        <v>https://docs.wto.org/imrd/directdoc.asp?DDFDocuments/t/G/SPS/NUSA2766.DOC</v>
      </c>
      <c r="L906" s="2" t="str">
        <f>HYPERLINK("https://docs.wto.org/imrd/directdoc.asp?DDFDocuments/u/G/SPS/NUSA2766.DOC")</f>
        <v>https://docs.wto.org/imrd/directdoc.asp?DDFDocuments/u/G/SPS/NUSA2766.DOC</v>
      </c>
      <c r="M906" s="2" t="str">
        <f>HYPERLINK("https://docs.wto.org/imrd/directdoc.asp?DDFDocuments/v/G/SPS/NUSA2766.DOC")</f>
        <v>https://docs.wto.org/imrd/directdoc.asp?DDFDocuments/v/G/SPS/NUSA2766.DOC</v>
      </c>
      <c r="N906" s="2" t="str">
        <f>HYPERLINK("http://www.epingalert.org/#/details/G/SPS/N/USA/2766")</f>
        <v>http://www.epingalert.org/#/details/G/SPS/N/USA/2766</v>
      </c>
      <c r="O906" s="2"/>
    </row>
    <row r="907" spans="1:15" ht="240" customHeight="1" outlineLevel="1" x14ac:dyDescent="0.25">
      <c r="A907" s="2" t="s">
        <v>1042</v>
      </c>
      <c r="B907" s="2" t="s">
        <v>7626</v>
      </c>
      <c r="C907" s="2"/>
      <c r="D907" s="2"/>
      <c r="E907" s="3">
        <v>42177</v>
      </c>
      <c r="F907" s="2" t="s">
        <v>7627</v>
      </c>
      <c r="G907" s="2" t="s">
        <v>7628</v>
      </c>
      <c r="H907" s="2" t="s">
        <v>2467</v>
      </c>
      <c r="I907" s="2" t="s">
        <v>7034</v>
      </c>
      <c r="J907" s="2"/>
      <c r="K907" s="2" t="str">
        <f>HYPERLINK("https://docs.wto.org/imrd/directdoc.asp?DDFDocuments/t/G/SPS/NPHL190A1.DOC")</f>
        <v>https://docs.wto.org/imrd/directdoc.asp?DDFDocuments/t/G/SPS/NPHL190A1.DOC</v>
      </c>
      <c r="L907" s="2" t="str">
        <f>HYPERLINK("https://docs.wto.org/imrd/directdoc.asp?DDFDocuments/u/G/SPS/NPHL190A1.DOC")</f>
        <v>https://docs.wto.org/imrd/directdoc.asp?DDFDocuments/u/G/SPS/NPHL190A1.DOC</v>
      </c>
      <c r="M907" s="2" t="str">
        <f>HYPERLINK("https://docs.wto.org/imrd/directdoc.asp?DDFDocuments/v/G/SPS/NPHL190A1.DOC")</f>
        <v>https://docs.wto.org/imrd/directdoc.asp?DDFDocuments/v/G/SPS/NPHL190A1.DOC</v>
      </c>
      <c r="N907" s="2" t="str">
        <f>HYPERLINK("http://www.epingalert.org/#/details/G/SPS/N/PHL/190/Add.1")</f>
        <v>http://www.epingalert.org/#/details/G/SPS/N/PHL/190/Add.1</v>
      </c>
      <c r="O907" s="2"/>
    </row>
    <row r="908" spans="1:15" ht="240" customHeight="1" outlineLevel="1" x14ac:dyDescent="0.25">
      <c r="A908" s="2" t="s">
        <v>1042</v>
      </c>
      <c r="B908" s="2" t="s">
        <v>7629</v>
      </c>
      <c r="C908" s="2"/>
      <c r="D908" s="2"/>
      <c r="E908" s="3">
        <v>42177</v>
      </c>
      <c r="F908" s="2" t="s">
        <v>7630</v>
      </c>
      <c r="G908" s="2" t="s">
        <v>7591</v>
      </c>
      <c r="H908" s="2" t="s">
        <v>2467</v>
      </c>
      <c r="I908" s="2" t="s">
        <v>7034</v>
      </c>
      <c r="J908" s="2"/>
      <c r="K908" s="2" t="str">
        <f>HYPERLINK("https://docs.wto.org/imrd/directdoc.asp?DDFDocuments/t/G/SPS/NPHL260A1.DOC")</f>
        <v>https://docs.wto.org/imrd/directdoc.asp?DDFDocuments/t/G/SPS/NPHL260A1.DOC</v>
      </c>
      <c r="L908" s="2" t="str">
        <f>HYPERLINK("https://docs.wto.org/imrd/directdoc.asp?DDFDocuments/u/G/SPS/NPHL260A1.DOC")</f>
        <v>https://docs.wto.org/imrd/directdoc.asp?DDFDocuments/u/G/SPS/NPHL260A1.DOC</v>
      </c>
      <c r="M908" s="2" t="str">
        <f>HYPERLINK("https://docs.wto.org/imrd/directdoc.asp?DDFDocuments/v/G/SPS/NPHL260A1.DOC")</f>
        <v>https://docs.wto.org/imrd/directdoc.asp?DDFDocuments/v/G/SPS/NPHL260A1.DOC</v>
      </c>
      <c r="N908" s="2" t="str">
        <f>HYPERLINK("http://www.epingalert.org/#/details/G/SPS/N/PHL/260/Add.1")</f>
        <v>http://www.epingalert.org/#/details/G/SPS/N/PHL/260/Add.1</v>
      </c>
      <c r="O908" s="2"/>
    </row>
    <row r="909" spans="1:15" ht="240" customHeight="1" outlineLevel="1" x14ac:dyDescent="0.25">
      <c r="A909" s="2" t="s">
        <v>18</v>
      </c>
      <c r="B909" s="2" t="s">
        <v>4264</v>
      </c>
      <c r="C909" s="2"/>
      <c r="D909" s="2"/>
      <c r="E909" s="3">
        <v>42173</v>
      </c>
      <c r="F909" s="2" t="s">
        <v>4265</v>
      </c>
      <c r="G909" s="2"/>
      <c r="H909" s="2" t="s">
        <v>2425</v>
      </c>
      <c r="I909" s="2" t="s">
        <v>2444</v>
      </c>
      <c r="J909" s="3">
        <v>42201</v>
      </c>
      <c r="K909" s="2" t="str">
        <f>HYPERLINK("https://docs.wto.org/imrd/directdoc.asp?DDFDocuments/t/G/SPS/NUSA2656A1.DOC")</f>
        <v>https://docs.wto.org/imrd/directdoc.asp?DDFDocuments/t/G/SPS/NUSA2656A1.DOC</v>
      </c>
      <c r="L909" s="2" t="str">
        <f>HYPERLINK("https://docs.wto.org/imrd/directdoc.asp?DDFDocuments/u/G/SPS/NUSA2656A1.DOC")</f>
        <v>https://docs.wto.org/imrd/directdoc.asp?DDFDocuments/u/G/SPS/NUSA2656A1.DOC</v>
      </c>
      <c r="M909" s="2" t="str">
        <f>HYPERLINK("https://docs.wto.org/imrd/directdoc.asp?DDFDocuments/v/G/SPS/NUSA2656A1.DOC")</f>
        <v>https://docs.wto.org/imrd/directdoc.asp?DDFDocuments/v/G/SPS/NUSA2656A1.DOC</v>
      </c>
      <c r="N909" s="2" t="str">
        <f>HYPERLINK("http://www.epingalert.org/#/details/G/SPS/N/USA/2656/Add.1")</f>
        <v>http://www.epingalert.org/#/details/G/SPS/N/USA/2656/Add.1</v>
      </c>
      <c r="O909" s="2"/>
    </row>
    <row r="910" spans="1:15" ht="240" customHeight="1" outlineLevel="1" x14ac:dyDescent="0.25">
      <c r="A910" s="2" t="s">
        <v>1216</v>
      </c>
      <c r="B910" s="2" t="s">
        <v>7636</v>
      </c>
      <c r="C910" s="2"/>
      <c r="D910" s="2"/>
      <c r="E910" s="3">
        <v>42171</v>
      </c>
      <c r="F910" s="2" t="s">
        <v>7637</v>
      </c>
      <c r="G910" s="2" t="s">
        <v>7638</v>
      </c>
      <c r="H910" s="2" t="s">
        <v>2467</v>
      </c>
      <c r="I910" s="2" t="s">
        <v>7034</v>
      </c>
      <c r="J910" s="3">
        <v>42231</v>
      </c>
      <c r="K910" s="2" t="str">
        <f>HYPERLINK("https://docs.wto.org/imrd/directdoc.asp?DDFDocuments/t/G/SPS/NUKR97A1.DOC")</f>
        <v>https://docs.wto.org/imrd/directdoc.asp?DDFDocuments/t/G/SPS/NUKR97A1.DOC</v>
      </c>
      <c r="L910" s="2" t="str">
        <f>HYPERLINK("https://docs.wto.org/imrd/directdoc.asp?DDFDocuments/u/G/SPS/NUKR97A1.DOC")</f>
        <v>https://docs.wto.org/imrd/directdoc.asp?DDFDocuments/u/G/SPS/NUKR97A1.DOC</v>
      </c>
      <c r="M910" s="2" t="str">
        <f>HYPERLINK("https://docs.wto.org/imrd/directdoc.asp?DDFDocuments/v/G/SPS/NUKR97A1.DOC")</f>
        <v>https://docs.wto.org/imrd/directdoc.asp?DDFDocuments/v/G/SPS/NUKR97A1.DOC</v>
      </c>
      <c r="N910" s="2" t="str">
        <f>HYPERLINK("http://www.epingalert.org/#/details/G/SPS/N/UKR/97/Add.1")</f>
        <v>http://www.epingalert.org/#/details/G/SPS/N/UKR/97/Add.1</v>
      </c>
      <c r="O910" s="2"/>
    </row>
    <row r="911" spans="1:15" ht="240" customHeight="1" outlineLevel="1" x14ac:dyDescent="0.25">
      <c r="A911" s="2" t="s">
        <v>25</v>
      </c>
      <c r="B911" s="2" t="s">
        <v>7639</v>
      </c>
      <c r="C911" s="2" t="s">
        <v>7640</v>
      </c>
      <c r="D911" s="2" t="s">
        <v>7641</v>
      </c>
      <c r="E911" s="3">
        <v>42171</v>
      </c>
      <c r="F911" s="2" t="s">
        <v>7549</v>
      </c>
      <c r="G911" s="2" t="s">
        <v>2039</v>
      </c>
      <c r="H911" s="2" t="s">
        <v>2467</v>
      </c>
      <c r="I911" s="2" t="s">
        <v>7642</v>
      </c>
      <c r="J911" s="3">
        <v>42231</v>
      </c>
      <c r="K911" s="2" t="str">
        <f>HYPERLINK("https://docs.wto.org/imrd/directdoc.asp?DDFDocuments/t/G/SPS/NKOR508.DOC")</f>
        <v>https://docs.wto.org/imrd/directdoc.asp?DDFDocuments/t/G/SPS/NKOR508.DOC</v>
      </c>
      <c r="L911" s="2" t="str">
        <f>HYPERLINK("https://docs.wto.org/imrd/directdoc.asp?DDFDocuments/u/G/SPS/NKOR508.DOC")</f>
        <v>https://docs.wto.org/imrd/directdoc.asp?DDFDocuments/u/G/SPS/NKOR508.DOC</v>
      </c>
      <c r="M911" s="2" t="str">
        <f>HYPERLINK("https://docs.wto.org/imrd/directdoc.asp?DDFDocuments/v/G/SPS/NKOR508.DOC")</f>
        <v>https://docs.wto.org/imrd/directdoc.asp?DDFDocuments/v/G/SPS/NKOR508.DOC</v>
      </c>
      <c r="N911" s="2" t="str">
        <f>HYPERLINK("http://www.epingalert.org/#/details/G/SPS/N/KOR/508")</f>
        <v>http://www.epingalert.org/#/details/G/SPS/N/KOR/508</v>
      </c>
      <c r="O911" s="2"/>
    </row>
    <row r="912" spans="1:15" ht="240" customHeight="1" outlineLevel="1" x14ac:dyDescent="0.25">
      <c r="A912" s="2" t="s">
        <v>42</v>
      </c>
      <c r="B912" s="2" t="s">
        <v>4266</v>
      </c>
      <c r="C912" s="2" t="s">
        <v>4267</v>
      </c>
      <c r="D912" s="2" t="s">
        <v>4268</v>
      </c>
      <c r="E912" s="3">
        <v>42171</v>
      </c>
      <c r="F912" s="2" t="s">
        <v>4268</v>
      </c>
      <c r="G912" s="2"/>
      <c r="H912" s="2" t="s">
        <v>2425</v>
      </c>
      <c r="I912" s="2" t="s">
        <v>2453</v>
      </c>
      <c r="J912" s="3">
        <v>42195</v>
      </c>
      <c r="K912" s="2" t="str">
        <f>HYPERLINK("https://docs.wto.org/imrd/directdoc.asp?DDFDocuments/t/G/SPS/NBRA1047.DOC")</f>
        <v>https://docs.wto.org/imrd/directdoc.asp?DDFDocuments/t/G/SPS/NBRA1047.DOC</v>
      </c>
      <c r="L912" s="2" t="str">
        <f>HYPERLINK("https://docs.wto.org/imrd/directdoc.asp?DDFDocuments/u/G/SPS/NBRA1047.DOC")</f>
        <v>https://docs.wto.org/imrd/directdoc.asp?DDFDocuments/u/G/SPS/NBRA1047.DOC</v>
      </c>
      <c r="M912" s="2" t="str">
        <f>HYPERLINK("https://docs.wto.org/imrd/directdoc.asp?DDFDocuments/v/G/SPS/NBRA1047.DOC")</f>
        <v>https://docs.wto.org/imrd/directdoc.asp?DDFDocuments/v/G/SPS/NBRA1047.DOC</v>
      </c>
      <c r="N912" s="2" t="str">
        <f>HYPERLINK("http://www.epingalert.org/#/details/G/SPS/N/BRA/1047")</f>
        <v>http://www.epingalert.org/#/details/G/SPS/N/BRA/1047</v>
      </c>
      <c r="O912" s="2"/>
    </row>
    <row r="913" spans="1:15" ht="240" customHeight="1" outlineLevel="1" x14ac:dyDescent="0.25">
      <c r="A913" s="2" t="s">
        <v>37</v>
      </c>
      <c r="B913" s="2" t="s">
        <v>4269</v>
      </c>
      <c r="C913" s="2" t="s">
        <v>4270</v>
      </c>
      <c r="D913" s="2" t="s">
        <v>4271</v>
      </c>
      <c r="E913" s="3">
        <v>42170</v>
      </c>
      <c r="F913" s="2" t="s">
        <v>4272</v>
      </c>
      <c r="G913" s="2"/>
      <c r="H913" s="2" t="s">
        <v>2425</v>
      </c>
      <c r="I913" s="2" t="s">
        <v>2461</v>
      </c>
      <c r="J913" s="3">
        <v>42230</v>
      </c>
      <c r="K913" s="2" t="str">
        <f>HYPERLINK("https://docs.wto.org/imrd/directdoc.asp?DDFDocuments/t/G/SPS/NTUR59.DOC")</f>
        <v>https://docs.wto.org/imrd/directdoc.asp?DDFDocuments/t/G/SPS/NTUR59.DOC</v>
      </c>
      <c r="L913" s="2" t="str">
        <f>HYPERLINK("https://docs.wto.org/imrd/directdoc.asp?DDFDocuments/u/G/SPS/NTUR59.DOC")</f>
        <v>https://docs.wto.org/imrd/directdoc.asp?DDFDocuments/u/G/SPS/NTUR59.DOC</v>
      </c>
      <c r="M913" s="2" t="str">
        <f>HYPERLINK("https://docs.wto.org/imrd/directdoc.asp?DDFDocuments/v/G/SPS/NTUR59.DOC")</f>
        <v>https://docs.wto.org/imrd/directdoc.asp?DDFDocuments/v/G/SPS/NTUR59.DOC</v>
      </c>
      <c r="N913" s="2" t="str">
        <f>HYPERLINK("http://www.epingalert.org/#/details/G/SPS/N/TUR/59")</f>
        <v>http://www.epingalert.org/#/details/G/SPS/N/TUR/59</v>
      </c>
      <c r="O913" s="2"/>
    </row>
    <row r="914" spans="1:15" ht="240" customHeight="1" outlineLevel="1" x14ac:dyDescent="0.25">
      <c r="A914" s="2" t="s">
        <v>25</v>
      </c>
      <c r="B914" s="2" t="s">
        <v>4273</v>
      </c>
      <c r="C914" s="2" t="s">
        <v>4274</v>
      </c>
      <c r="D914" s="2" t="s">
        <v>4275</v>
      </c>
      <c r="E914" s="3">
        <v>42167</v>
      </c>
      <c r="F914" s="2" t="s">
        <v>4148</v>
      </c>
      <c r="G914" s="2" t="s">
        <v>4276</v>
      </c>
      <c r="H914" s="2" t="s">
        <v>2425</v>
      </c>
      <c r="I914" s="2" t="s">
        <v>2903</v>
      </c>
      <c r="J914" s="3">
        <v>42227</v>
      </c>
      <c r="K914" s="2" t="str">
        <f>HYPERLINK("https://docs.wto.org/imrd/directdoc.asp?DDFDocuments/t/G/SPS/NKOR506.DOC")</f>
        <v>https://docs.wto.org/imrd/directdoc.asp?DDFDocuments/t/G/SPS/NKOR506.DOC</v>
      </c>
      <c r="L914" s="2" t="str">
        <f>HYPERLINK("https://docs.wto.org/imrd/directdoc.asp?DDFDocuments/u/G/SPS/NKOR506.DOC")</f>
        <v>https://docs.wto.org/imrd/directdoc.asp?DDFDocuments/u/G/SPS/NKOR506.DOC</v>
      </c>
      <c r="M914" s="2" t="str">
        <f>HYPERLINK("https://docs.wto.org/imrd/directdoc.asp?DDFDocuments/v/G/SPS/NKOR506.DOC")</f>
        <v>https://docs.wto.org/imrd/directdoc.asp?DDFDocuments/v/G/SPS/NKOR506.DOC</v>
      </c>
      <c r="N914" s="2" t="str">
        <f>HYPERLINK("http://www.epingalert.org/#/details/G/SPS/N/KOR/506")</f>
        <v>http://www.epingalert.org/#/details/G/SPS/N/KOR/506</v>
      </c>
      <c r="O914" s="2"/>
    </row>
    <row r="915" spans="1:15" ht="240" customHeight="1" outlineLevel="1" x14ac:dyDescent="0.25">
      <c r="A915" s="2" t="s">
        <v>25</v>
      </c>
      <c r="B915" s="2" t="s">
        <v>4277</v>
      </c>
      <c r="C915" s="2" t="s">
        <v>4278</v>
      </c>
      <c r="D915" s="2" t="s">
        <v>4279</v>
      </c>
      <c r="E915" s="3">
        <v>42167</v>
      </c>
      <c r="F915" s="2" t="s">
        <v>299</v>
      </c>
      <c r="G915" s="2" t="s">
        <v>4280</v>
      </c>
      <c r="H915" s="2" t="s">
        <v>2425</v>
      </c>
      <c r="I915" s="2" t="s">
        <v>4281</v>
      </c>
      <c r="J915" s="3">
        <v>42197</v>
      </c>
      <c r="K915" s="2" t="str">
        <f>HYPERLINK("https://docs.wto.org/imrd/directdoc.asp?DDFDocuments/t/G/SPS/NKOR507.DOC")</f>
        <v>https://docs.wto.org/imrd/directdoc.asp?DDFDocuments/t/G/SPS/NKOR507.DOC</v>
      </c>
      <c r="L915" s="2" t="str">
        <f>HYPERLINK("https://docs.wto.org/imrd/directdoc.asp?DDFDocuments/u/G/SPS/NKOR507.DOC")</f>
        <v>https://docs.wto.org/imrd/directdoc.asp?DDFDocuments/u/G/SPS/NKOR507.DOC</v>
      </c>
      <c r="M915" s="2" t="str">
        <f>HYPERLINK("https://docs.wto.org/imrd/directdoc.asp?DDFDocuments/v/G/SPS/NKOR507.DOC")</f>
        <v>https://docs.wto.org/imrd/directdoc.asp?DDFDocuments/v/G/SPS/NKOR507.DOC</v>
      </c>
      <c r="N915" s="2" t="str">
        <f>HYPERLINK("http://www.epingalert.org/#/details/G/SPS/N/KOR/507")</f>
        <v>http://www.epingalert.org/#/details/G/SPS/N/KOR/507</v>
      </c>
      <c r="O915" s="2"/>
    </row>
    <row r="916" spans="1:15" ht="240" customHeight="1" outlineLevel="1" x14ac:dyDescent="0.25">
      <c r="A916" s="2" t="s">
        <v>18</v>
      </c>
      <c r="B916" s="2" t="s">
        <v>6653</v>
      </c>
      <c r="C916" s="2"/>
      <c r="D916" s="2"/>
      <c r="E916" s="3">
        <v>42167</v>
      </c>
      <c r="F916" s="2" t="s">
        <v>6654</v>
      </c>
      <c r="G916" s="2" t="s">
        <v>1646</v>
      </c>
      <c r="H916" s="2" t="s">
        <v>2425</v>
      </c>
      <c r="I916" s="2" t="s">
        <v>2444</v>
      </c>
      <c r="J916" s="3">
        <v>42194</v>
      </c>
      <c r="K916" s="2" t="str">
        <f>HYPERLINK("https://docs.wto.org/imrd/directdoc.asp?DDFDocuments/t/G/SPS/NUSA2713A1.DOC")</f>
        <v>https://docs.wto.org/imrd/directdoc.asp?DDFDocuments/t/G/SPS/NUSA2713A1.DOC</v>
      </c>
      <c r="L916" s="2" t="str">
        <f>HYPERLINK("https://docs.wto.org/imrd/directdoc.asp?DDFDocuments/u/G/SPS/NUSA2713A1.DOC")</f>
        <v>https://docs.wto.org/imrd/directdoc.asp?DDFDocuments/u/G/SPS/NUSA2713A1.DOC</v>
      </c>
      <c r="M916" s="2" t="str">
        <f>HYPERLINK("https://docs.wto.org/imrd/directdoc.asp?DDFDocuments/v/G/SPS/NUSA2713A1.DOC")</f>
        <v>https://docs.wto.org/imrd/directdoc.asp?DDFDocuments/v/G/SPS/NUSA2713A1.DOC</v>
      </c>
      <c r="N916" s="2" t="str">
        <f>HYPERLINK("http://www.epingalert.org/#/details/G/SPS/N/USA/2713/Add.1")</f>
        <v>http://www.epingalert.org/#/details/G/SPS/N/USA/2713/Add.1</v>
      </c>
      <c r="O916" s="2"/>
    </row>
    <row r="917" spans="1:15" ht="240" customHeight="1" outlineLevel="1" x14ac:dyDescent="0.25">
      <c r="A917" s="2" t="s">
        <v>115</v>
      </c>
      <c r="B917" s="2" t="s">
        <v>4282</v>
      </c>
      <c r="C917" s="2" t="s">
        <v>2622</v>
      </c>
      <c r="D917" s="2" t="s">
        <v>4283</v>
      </c>
      <c r="E917" s="3">
        <v>42167</v>
      </c>
      <c r="F917" s="2" t="s">
        <v>4284</v>
      </c>
      <c r="G917" s="2"/>
      <c r="H917" s="2" t="s">
        <v>2425</v>
      </c>
      <c r="I917" s="2" t="s">
        <v>2426</v>
      </c>
      <c r="J917" s="2"/>
      <c r="K917" s="2" t="str">
        <f>HYPERLINK("https://docs.wto.org/imrd/directdoc.asp?DDFDocuments/t/G/SPS/NJPN420.DOC")</f>
        <v>https://docs.wto.org/imrd/directdoc.asp?DDFDocuments/t/G/SPS/NJPN420.DOC</v>
      </c>
      <c r="L917" s="2" t="str">
        <f>HYPERLINK("https://docs.wto.org/imrd/directdoc.asp?DDFDocuments/u/G/SPS/NJPN420.DOC")</f>
        <v>https://docs.wto.org/imrd/directdoc.asp?DDFDocuments/u/G/SPS/NJPN420.DOC</v>
      </c>
      <c r="M917" s="2" t="str">
        <f>HYPERLINK("https://docs.wto.org/imrd/directdoc.asp?DDFDocuments/v/G/SPS/NJPN420.DOC")</f>
        <v>https://docs.wto.org/imrd/directdoc.asp?DDFDocuments/v/G/SPS/NJPN420.DOC</v>
      </c>
      <c r="N917" s="2" t="str">
        <f>HYPERLINK("http://www.epingalert.org/#/details/G/SPS/N/JPN/420")</f>
        <v>http://www.epingalert.org/#/details/G/SPS/N/JPN/420</v>
      </c>
      <c r="O917" s="2"/>
    </row>
    <row r="918" spans="1:15" ht="240" customHeight="1" outlineLevel="1" x14ac:dyDescent="0.25">
      <c r="A918" s="2" t="s">
        <v>121</v>
      </c>
      <c r="B918" s="2" t="s">
        <v>4294</v>
      </c>
      <c r="C918" s="2" t="s">
        <v>4295</v>
      </c>
      <c r="D918" s="2" t="s">
        <v>4296</v>
      </c>
      <c r="E918" s="3">
        <v>42163</v>
      </c>
      <c r="F918" s="2" t="s">
        <v>4297</v>
      </c>
      <c r="G918" s="2"/>
      <c r="H918" s="2" t="s">
        <v>2425</v>
      </c>
      <c r="I918" s="2" t="s">
        <v>4298</v>
      </c>
      <c r="J918" s="3">
        <v>42223</v>
      </c>
      <c r="K918" s="2" t="str">
        <f>HYPERLINK("https://docs.wto.org/imrd/directdoc.asp?DDFDocuments/t/G/SPS/NIND105.DOC")</f>
        <v>https://docs.wto.org/imrd/directdoc.asp?DDFDocuments/t/G/SPS/NIND105.DOC</v>
      </c>
      <c r="L918" s="2" t="str">
        <f>HYPERLINK("https://docs.wto.org/imrd/directdoc.asp?DDFDocuments/u/G/SPS/NIND105.DOC")</f>
        <v>https://docs.wto.org/imrd/directdoc.asp?DDFDocuments/u/G/SPS/NIND105.DOC</v>
      </c>
      <c r="M918" s="2" t="str">
        <f>HYPERLINK("https://docs.wto.org/imrd/directdoc.asp?DDFDocuments/v/G/SPS/NIND105.DOC")</f>
        <v>https://docs.wto.org/imrd/directdoc.asp?DDFDocuments/v/G/SPS/NIND105.DOC</v>
      </c>
      <c r="N918" s="2" t="str">
        <f>HYPERLINK("http://www.epingalert.org/#/details/G/SPS/N/IND/105")</f>
        <v>http://www.epingalert.org/#/details/G/SPS/N/IND/105</v>
      </c>
      <c r="O918" s="2"/>
    </row>
    <row r="919" spans="1:15" ht="240" customHeight="1" outlineLevel="1" x14ac:dyDescent="0.25">
      <c r="A919" s="2" t="s">
        <v>25</v>
      </c>
      <c r="B919" s="2" t="s">
        <v>4285</v>
      </c>
      <c r="C919" s="2" t="s">
        <v>3198</v>
      </c>
      <c r="D919" s="2" t="s">
        <v>4286</v>
      </c>
      <c r="E919" s="3">
        <v>42163</v>
      </c>
      <c r="F919" s="2" t="s">
        <v>4287</v>
      </c>
      <c r="G919" s="2"/>
      <c r="H919" s="2" t="s">
        <v>2425</v>
      </c>
      <c r="I919" s="2" t="s">
        <v>2461</v>
      </c>
      <c r="J919" s="3">
        <v>42214</v>
      </c>
      <c r="K919" s="2" t="str">
        <f>HYPERLINK("https://docs.wto.org/imrd/directdoc.asp?DDFDocuments/t/G/SPS/NKOR505.DOC")</f>
        <v>https://docs.wto.org/imrd/directdoc.asp?DDFDocuments/t/G/SPS/NKOR505.DOC</v>
      </c>
      <c r="L919" s="2" t="str">
        <f>HYPERLINK("https://docs.wto.org/imrd/directdoc.asp?DDFDocuments/u/G/SPS/NKOR505.DOC")</f>
        <v>https://docs.wto.org/imrd/directdoc.asp?DDFDocuments/u/G/SPS/NKOR505.DOC</v>
      </c>
      <c r="M919" s="2" t="str">
        <f>HYPERLINK("https://docs.wto.org/imrd/directdoc.asp?DDFDocuments/v/G/SPS/NKOR505.DOC")</f>
        <v>https://docs.wto.org/imrd/directdoc.asp?DDFDocuments/v/G/SPS/NKOR505.DOC</v>
      </c>
      <c r="N919" s="2" t="str">
        <f>HYPERLINK("http://www.epingalert.org/#/details/G/SPS/N/KOR/505")</f>
        <v>http://www.epingalert.org/#/details/G/SPS/N/KOR/505</v>
      </c>
      <c r="O919" s="2"/>
    </row>
    <row r="920" spans="1:15" ht="240" customHeight="1" outlineLevel="1" x14ac:dyDescent="0.25">
      <c r="A920" s="2" t="s">
        <v>18</v>
      </c>
      <c r="B920" s="2" t="s">
        <v>4288</v>
      </c>
      <c r="C920" s="2" t="s">
        <v>4289</v>
      </c>
      <c r="D920" s="2" t="s">
        <v>4290</v>
      </c>
      <c r="E920" s="3">
        <v>42163</v>
      </c>
      <c r="F920" s="2" t="s">
        <v>4291</v>
      </c>
      <c r="G920" s="2" t="s">
        <v>4292</v>
      </c>
      <c r="H920" s="2" t="s">
        <v>2425</v>
      </c>
      <c r="I920" s="2" t="s">
        <v>4293</v>
      </c>
      <c r="J920" s="2"/>
      <c r="K920" s="2" t="str">
        <f>HYPERLINK("https://docs.wto.org/imrd/directdoc.asp?DDFDocuments/t/G/SPS/NUSA2765.DOC")</f>
        <v>https://docs.wto.org/imrd/directdoc.asp?DDFDocuments/t/G/SPS/NUSA2765.DOC</v>
      </c>
      <c r="L920" s="2" t="str">
        <f>HYPERLINK("https://docs.wto.org/imrd/directdoc.asp?DDFDocuments/u/G/SPS/NUSA2765.DOC")</f>
        <v>https://docs.wto.org/imrd/directdoc.asp?DDFDocuments/u/G/SPS/NUSA2765.DOC</v>
      </c>
      <c r="M920" s="2" t="str">
        <f>HYPERLINK("https://docs.wto.org/imrd/directdoc.asp?DDFDocuments/v/G/SPS/NUSA2765.DOC")</f>
        <v>https://docs.wto.org/imrd/directdoc.asp?DDFDocuments/v/G/SPS/NUSA2765.DOC</v>
      </c>
      <c r="N920" s="2" t="str">
        <f>HYPERLINK("http://www.epingalert.org/#/details/G/SPS/N/USA/2765")</f>
        <v>http://www.epingalert.org/#/details/G/SPS/N/USA/2765</v>
      </c>
      <c r="O920" s="2"/>
    </row>
    <row r="921" spans="1:15" ht="240" customHeight="1" outlineLevel="1" x14ac:dyDescent="0.25">
      <c r="A921" s="2" t="s">
        <v>6655</v>
      </c>
      <c r="B921" s="2" t="s">
        <v>6656</v>
      </c>
      <c r="C921" s="2"/>
      <c r="D921" s="2"/>
      <c r="E921" s="3">
        <v>42163</v>
      </c>
      <c r="F921" s="2"/>
      <c r="G921" s="2" t="s">
        <v>6657</v>
      </c>
      <c r="H921" s="2" t="s">
        <v>2425</v>
      </c>
      <c r="I921" s="2" t="s">
        <v>6545</v>
      </c>
      <c r="J921" s="2"/>
      <c r="K921" s="2" t="str">
        <f>HYPERLINK("https://docs.wto.org/imrd/directdoc.asp?DDFDocuments/t/G/SPS/NCPV4.DOC")</f>
        <v>https://docs.wto.org/imrd/directdoc.asp?DDFDocuments/t/G/SPS/NCPV4.DOC</v>
      </c>
      <c r="L921" s="2" t="str">
        <f>HYPERLINK("https://docs.wto.org/imrd/directdoc.asp?DDFDocuments/u/G/SPS/NCPV4.DOC")</f>
        <v>https://docs.wto.org/imrd/directdoc.asp?DDFDocuments/u/G/SPS/NCPV4.DOC</v>
      </c>
      <c r="M921" s="2" t="str">
        <f>HYPERLINK("https://docs.wto.org/imrd/directdoc.asp?DDFDocuments/v/G/SPS/NCPV4.DOC")</f>
        <v>https://docs.wto.org/imrd/directdoc.asp?DDFDocuments/v/G/SPS/NCPV4.DOC</v>
      </c>
      <c r="N921" s="2" t="str">
        <f>HYPERLINK("http://www.epingalert.org/#/details/G/SPS/N/CPV/4")</f>
        <v>http://www.epingalert.org/#/details/G/SPS/N/CPV/4</v>
      </c>
      <c r="O921" s="2"/>
    </row>
    <row r="922" spans="1:15" ht="240" customHeight="1" outlineLevel="1" x14ac:dyDescent="0.25">
      <c r="A922" s="2" t="s">
        <v>1042</v>
      </c>
      <c r="B922" s="2" t="s">
        <v>7645</v>
      </c>
      <c r="C922" s="2" t="s">
        <v>7646</v>
      </c>
      <c r="D922" s="2" t="s">
        <v>7647</v>
      </c>
      <c r="E922" s="3">
        <v>42160</v>
      </c>
      <c r="F922" s="2" t="s">
        <v>7648</v>
      </c>
      <c r="G922" s="2" t="s">
        <v>2923</v>
      </c>
      <c r="H922" s="2" t="s">
        <v>2425</v>
      </c>
      <c r="I922" s="2" t="s">
        <v>2453</v>
      </c>
      <c r="J922" s="3">
        <v>42226</v>
      </c>
      <c r="K922" s="2" t="str">
        <f>HYPERLINK("https://docs.wto.org/imrd/directdoc.asp?DDFDocuments/t/G/SPS/NPHL298.DOC")</f>
        <v>https://docs.wto.org/imrd/directdoc.asp?DDFDocuments/t/G/SPS/NPHL298.DOC</v>
      </c>
      <c r="L922" s="2" t="str">
        <f>HYPERLINK("https://docs.wto.org/imrd/directdoc.asp?DDFDocuments/u/G/SPS/NPHL298.DOC")</f>
        <v>https://docs.wto.org/imrd/directdoc.asp?DDFDocuments/u/G/SPS/NPHL298.DOC</v>
      </c>
      <c r="M922" s="2" t="str">
        <f>HYPERLINK("https://docs.wto.org/imrd/directdoc.asp?DDFDocuments/v/G/SPS/NPHL298.DOC")</f>
        <v>https://docs.wto.org/imrd/directdoc.asp?DDFDocuments/v/G/SPS/NPHL298.DOC</v>
      </c>
      <c r="N922" s="2" t="str">
        <f>HYPERLINK("http://www.epingalert.org/#/details/G/SPS/N/PHL/298")</f>
        <v>http://www.epingalert.org/#/details/G/SPS/N/PHL/298</v>
      </c>
      <c r="O922" s="2"/>
    </row>
    <row r="923" spans="1:15" ht="240" customHeight="1" outlineLevel="1" x14ac:dyDescent="0.25">
      <c r="A923" s="2" t="s">
        <v>1042</v>
      </c>
      <c r="B923" s="2" t="s">
        <v>7643</v>
      </c>
      <c r="C923" s="2"/>
      <c r="D923" s="2"/>
      <c r="E923" s="3">
        <v>42160</v>
      </c>
      <c r="F923" s="2" t="s">
        <v>7407</v>
      </c>
      <c r="G923" s="2" t="s">
        <v>7644</v>
      </c>
      <c r="H923" s="2" t="s">
        <v>2467</v>
      </c>
      <c r="I923" s="2" t="s">
        <v>7034</v>
      </c>
      <c r="J923" s="2"/>
      <c r="K923" s="2" t="str">
        <f>HYPERLINK("https://docs.wto.org/imrd/directdoc.asp?DDFDocuments/t/G/SPS/NPHL266A1.DOC")</f>
        <v>https://docs.wto.org/imrd/directdoc.asp?DDFDocuments/t/G/SPS/NPHL266A1.DOC</v>
      </c>
      <c r="L923" s="2" t="str">
        <f>HYPERLINK("https://docs.wto.org/imrd/directdoc.asp?DDFDocuments/u/G/SPS/NPHL266A1.DOC")</f>
        <v>https://docs.wto.org/imrd/directdoc.asp?DDFDocuments/u/G/SPS/NPHL266A1.DOC</v>
      </c>
      <c r="M923" s="2" t="str">
        <f>HYPERLINK("https://docs.wto.org/imrd/directdoc.asp?DDFDocuments/v/G/SPS/NPHL266A1.DOC")</f>
        <v>https://docs.wto.org/imrd/directdoc.asp?DDFDocuments/v/G/SPS/NPHL266A1.DOC</v>
      </c>
      <c r="N923" s="2" t="str">
        <f>HYPERLINK("http://www.epingalert.org/#/details/G/SPS/N/PHL/266/Add.1")</f>
        <v>http://www.epingalert.org/#/details/G/SPS/N/PHL/266/Add.1</v>
      </c>
      <c r="O923" s="2"/>
    </row>
    <row r="924" spans="1:15" ht="240" customHeight="1" outlineLevel="1" x14ac:dyDescent="0.25">
      <c r="A924" s="2" t="s">
        <v>42</v>
      </c>
      <c r="B924" s="2" t="s">
        <v>7649</v>
      </c>
      <c r="C924" s="2"/>
      <c r="D924" s="2"/>
      <c r="E924" s="3">
        <v>42158</v>
      </c>
      <c r="F924" s="2" t="s">
        <v>7650</v>
      </c>
      <c r="G924" s="2" t="s">
        <v>2262</v>
      </c>
      <c r="H924" s="2" t="s">
        <v>7356</v>
      </c>
      <c r="I924" s="2" t="s">
        <v>2491</v>
      </c>
      <c r="J924" s="2"/>
      <c r="K924" s="2" t="str">
        <f>HYPERLINK("https://docs.wto.org/imrd/directdoc.asp?DDFDocuments/t/G/SPS/NBRA399R1A1.DOC")</f>
        <v>https://docs.wto.org/imrd/directdoc.asp?DDFDocuments/t/G/SPS/NBRA399R1A1.DOC</v>
      </c>
      <c r="L924" s="2" t="str">
        <f>HYPERLINK("https://docs.wto.org/imrd/directdoc.asp?DDFDocuments/u/G/SPS/NBRA399R1A1.DOC")</f>
        <v>https://docs.wto.org/imrd/directdoc.asp?DDFDocuments/u/G/SPS/NBRA399R1A1.DOC</v>
      </c>
      <c r="M924" s="2" t="str">
        <f>HYPERLINK("https://docs.wto.org/imrd/directdoc.asp?DDFDocuments/v/G/SPS/NBRA399R1A1.DOC")</f>
        <v>https://docs.wto.org/imrd/directdoc.asp?DDFDocuments/v/G/SPS/NBRA399R1A1.DOC</v>
      </c>
      <c r="N924" s="2" t="str">
        <f>HYPERLINK("http://www.epingalert.org/#/details/G/SPS/N/BRA/399/Rev.1/Add.1")</f>
        <v>http://www.epingalert.org/#/details/G/SPS/N/BRA/399/Rev.1/Add.1</v>
      </c>
      <c r="O924" s="2"/>
    </row>
    <row r="925" spans="1:15" ht="240" customHeight="1" outlineLevel="1" x14ac:dyDescent="0.25">
      <c r="A925" s="2" t="s">
        <v>115</v>
      </c>
      <c r="B925" s="2" t="s">
        <v>7651</v>
      </c>
      <c r="C925" s="2" t="s">
        <v>6754</v>
      </c>
      <c r="D925" s="2" t="s">
        <v>7652</v>
      </c>
      <c r="E925" s="3">
        <v>42157</v>
      </c>
      <c r="F925" s="2" t="s">
        <v>7653</v>
      </c>
      <c r="G925" s="2" t="s">
        <v>7654</v>
      </c>
      <c r="H925" s="2" t="s">
        <v>2425</v>
      </c>
      <c r="I925" s="2" t="s">
        <v>2453</v>
      </c>
      <c r="J925" s="3">
        <v>42217</v>
      </c>
      <c r="K925" s="2" t="str">
        <f>HYPERLINK("https://docs.wto.org/imrd/directdoc.asp?DDFDocuments/t/G/SPS/NJPN415.DOC")</f>
        <v>https://docs.wto.org/imrd/directdoc.asp?DDFDocuments/t/G/SPS/NJPN415.DOC</v>
      </c>
      <c r="L925" s="2" t="str">
        <f>HYPERLINK("https://docs.wto.org/imrd/directdoc.asp?DDFDocuments/u/G/SPS/NJPN415.DOC")</f>
        <v>https://docs.wto.org/imrd/directdoc.asp?DDFDocuments/u/G/SPS/NJPN415.DOC</v>
      </c>
      <c r="M925" s="2" t="str">
        <f>HYPERLINK("https://docs.wto.org/imrd/directdoc.asp?DDFDocuments/v/G/SPS/NJPN415.DOC")</f>
        <v>https://docs.wto.org/imrd/directdoc.asp?DDFDocuments/v/G/SPS/NJPN415.DOC</v>
      </c>
      <c r="N925" s="2" t="str">
        <f>HYPERLINK("http://www.epingalert.org/#/details/G/SPS/N/JPN/415")</f>
        <v>http://www.epingalert.org/#/details/G/SPS/N/JPN/415</v>
      </c>
      <c r="O925" s="2"/>
    </row>
    <row r="926" spans="1:15" ht="240" customHeight="1" outlineLevel="1" x14ac:dyDescent="0.25">
      <c r="A926" s="2" t="s">
        <v>115</v>
      </c>
      <c r="B926" s="2" t="s">
        <v>7655</v>
      </c>
      <c r="C926" s="2" t="s">
        <v>6754</v>
      </c>
      <c r="D926" s="2" t="s">
        <v>7656</v>
      </c>
      <c r="E926" s="3">
        <v>42157</v>
      </c>
      <c r="F926" s="2" t="s">
        <v>7657</v>
      </c>
      <c r="G926" s="2" t="s">
        <v>7658</v>
      </c>
      <c r="H926" s="2" t="s">
        <v>2425</v>
      </c>
      <c r="I926" s="2" t="s">
        <v>2453</v>
      </c>
      <c r="J926" s="3">
        <v>42217</v>
      </c>
      <c r="K926" s="2" t="str">
        <f>HYPERLINK("https://docs.wto.org/imrd/directdoc.asp?DDFDocuments/t/G/SPS/NJPN416.DOC")</f>
        <v>https://docs.wto.org/imrd/directdoc.asp?DDFDocuments/t/G/SPS/NJPN416.DOC</v>
      </c>
      <c r="L926" s="2" t="str">
        <f>HYPERLINK("https://docs.wto.org/imrd/directdoc.asp?DDFDocuments/u/G/SPS/NJPN416.DOC")</f>
        <v>https://docs.wto.org/imrd/directdoc.asp?DDFDocuments/u/G/SPS/NJPN416.DOC</v>
      </c>
      <c r="M926" s="2" t="str">
        <f>HYPERLINK("https://docs.wto.org/imrd/directdoc.asp?DDFDocuments/v/G/SPS/NJPN416.DOC")</f>
        <v>https://docs.wto.org/imrd/directdoc.asp?DDFDocuments/v/G/SPS/NJPN416.DOC</v>
      </c>
      <c r="N926" s="2" t="str">
        <f>HYPERLINK("http://www.epingalert.org/#/details/G/SPS/N/JPN/416")</f>
        <v>http://www.epingalert.org/#/details/G/SPS/N/JPN/416</v>
      </c>
      <c r="O926" s="2"/>
    </row>
    <row r="927" spans="1:15" ht="240" customHeight="1" outlineLevel="1" x14ac:dyDescent="0.25">
      <c r="A927" s="2" t="s">
        <v>115</v>
      </c>
      <c r="B927" s="2" t="s">
        <v>7659</v>
      </c>
      <c r="C927" s="2" t="s">
        <v>6754</v>
      </c>
      <c r="D927" s="2" t="s">
        <v>7660</v>
      </c>
      <c r="E927" s="3">
        <v>42157</v>
      </c>
      <c r="F927" s="2" t="s">
        <v>7661</v>
      </c>
      <c r="G927" s="2" t="s">
        <v>7662</v>
      </c>
      <c r="H927" s="2" t="s">
        <v>2425</v>
      </c>
      <c r="I927" s="2" t="s">
        <v>2499</v>
      </c>
      <c r="J927" s="3">
        <v>42217</v>
      </c>
      <c r="K927" s="2" t="str">
        <f>HYPERLINK("https://docs.wto.org/imrd/directdoc.asp?DDFDocuments/t/G/SPS/NJPN417.DOC")</f>
        <v>https://docs.wto.org/imrd/directdoc.asp?DDFDocuments/t/G/SPS/NJPN417.DOC</v>
      </c>
      <c r="L927" s="2" t="str">
        <f>HYPERLINK("https://docs.wto.org/imrd/directdoc.asp?DDFDocuments/u/G/SPS/NJPN417.DOC")</f>
        <v>https://docs.wto.org/imrd/directdoc.asp?DDFDocuments/u/G/SPS/NJPN417.DOC</v>
      </c>
      <c r="M927" s="2" t="str">
        <f>HYPERLINK("https://docs.wto.org/imrd/directdoc.asp?DDFDocuments/v/G/SPS/NJPN417.DOC")</f>
        <v>https://docs.wto.org/imrd/directdoc.asp?DDFDocuments/v/G/SPS/NJPN417.DOC</v>
      </c>
      <c r="N927" s="2" t="str">
        <f>HYPERLINK("http://www.epingalert.org/#/details/G/SPS/N/JPN/417")</f>
        <v>http://www.epingalert.org/#/details/G/SPS/N/JPN/417</v>
      </c>
      <c r="O927" s="2"/>
    </row>
    <row r="928" spans="1:15" ht="240" customHeight="1" outlineLevel="1" x14ac:dyDescent="0.25">
      <c r="A928" s="2" t="s">
        <v>1908</v>
      </c>
      <c r="B928" s="2" t="s">
        <v>4299</v>
      </c>
      <c r="C928" s="2" t="s">
        <v>4300</v>
      </c>
      <c r="D928" s="2" t="s">
        <v>4301</v>
      </c>
      <c r="E928" s="3">
        <v>42157</v>
      </c>
      <c r="F928" s="2" t="s">
        <v>4191</v>
      </c>
      <c r="G928" s="2"/>
      <c r="H928" s="2" t="s">
        <v>2425</v>
      </c>
      <c r="I928" s="2" t="s">
        <v>2461</v>
      </c>
      <c r="J928" s="3">
        <v>42185</v>
      </c>
      <c r="K928" s="2" t="str">
        <f>HYPERLINK("https://docs.wto.org/imrd/directdoc.asp?DDFDocuments/t/G/SPS/NCAN938.DOC")</f>
        <v>https://docs.wto.org/imrd/directdoc.asp?DDFDocuments/t/G/SPS/NCAN938.DOC</v>
      </c>
      <c r="L928" s="2" t="str">
        <f>HYPERLINK("https://docs.wto.org/imrd/directdoc.asp?DDFDocuments/u/G/SPS/NCAN938.DOC")</f>
        <v>https://docs.wto.org/imrd/directdoc.asp?DDFDocuments/u/G/SPS/NCAN938.DOC</v>
      </c>
      <c r="M928" s="2" t="str">
        <f>HYPERLINK("https://docs.wto.org/imrd/directdoc.asp?DDFDocuments/v/G/SPS/NCAN938.DOC")</f>
        <v>https://docs.wto.org/imrd/directdoc.asp?DDFDocuments/v/G/SPS/NCAN938.DOC</v>
      </c>
      <c r="N928" s="2" t="str">
        <f>HYPERLINK("http://www.epingalert.org/#/details/G/SPS/N/CAN/938")</f>
        <v>http://www.epingalert.org/#/details/G/SPS/N/CAN/938</v>
      </c>
      <c r="O928" s="2"/>
    </row>
    <row r="929" spans="1:15" ht="240" customHeight="1" outlineLevel="1" x14ac:dyDescent="0.25">
      <c r="A929" s="2" t="s">
        <v>1042</v>
      </c>
      <c r="B929" s="2" t="s">
        <v>7663</v>
      </c>
      <c r="C929" s="2" t="s">
        <v>7664</v>
      </c>
      <c r="D929" s="2" t="s">
        <v>7665</v>
      </c>
      <c r="E929" s="3">
        <v>42156</v>
      </c>
      <c r="F929" s="2" t="s">
        <v>7666</v>
      </c>
      <c r="G929" s="2" t="s">
        <v>7667</v>
      </c>
      <c r="H929" s="2" t="s">
        <v>2425</v>
      </c>
      <c r="I929" s="2" t="s">
        <v>7668</v>
      </c>
      <c r="J929" s="3">
        <v>42219</v>
      </c>
      <c r="K929" s="2" t="str">
        <f>HYPERLINK("https://docs.wto.org/imrd/directdoc.asp?DDFDocuments/t/G/SPS/NPHL291.DOC")</f>
        <v>https://docs.wto.org/imrd/directdoc.asp?DDFDocuments/t/G/SPS/NPHL291.DOC</v>
      </c>
      <c r="L929" s="2" t="str">
        <f>HYPERLINK("https://docs.wto.org/imrd/directdoc.asp?DDFDocuments/u/G/SPS/NPHL291.DOC")</f>
        <v>https://docs.wto.org/imrd/directdoc.asp?DDFDocuments/u/G/SPS/NPHL291.DOC</v>
      </c>
      <c r="M929" s="2" t="str">
        <f>HYPERLINK("https://docs.wto.org/imrd/directdoc.asp?DDFDocuments/v/G/SPS/NPHL291.DOC")</f>
        <v>https://docs.wto.org/imrd/directdoc.asp?DDFDocuments/v/G/SPS/NPHL291.DOC</v>
      </c>
      <c r="N929" s="2" t="str">
        <f>HYPERLINK("http://www.epingalert.org/#/details/G/SPS/N/PHL/291")</f>
        <v>http://www.epingalert.org/#/details/G/SPS/N/PHL/291</v>
      </c>
      <c r="O929" s="2"/>
    </row>
    <row r="930" spans="1:15" ht="240" customHeight="1" outlineLevel="1" x14ac:dyDescent="0.25">
      <c r="A930" s="2" t="s">
        <v>25</v>
      </c>
      <c r="B930" s="2" t="s">
        <v>4302</v>
      </c>
      <c r="C930" s="2" t="s">
        <v>4303</v>
      </c>
      <c r="D930" s="2" t="s">
        <v>4304</v>
      </c>
      <c r="E930" s="3">
        <v>42156</v>
      </c>
      <c r="F930" s="2" t="s">
        <v>299</v>
      </c>
      <c r="G930" s="2"/>
      <c r="H930" s="2" t="s">
        <v>2425</v>
      </c>
      <c r="I930" s="2" t="s">
        <v>2461</v>
      </c>
      <c r="J930" s="3">
        <v>42216</v>
      </c>
      <c r="K930" s="2" t="str">
        <f>HYPERLINK("https://docs.wto.org/imrd/directdoc.asp?DDFDocuments/t/G/SPS/NKOR503.DOC")</f>
        <v>https://docs.wto.org/imrd/directdoc.asp?DDFDocuments/t/G/SPS/NKOR503.DOC</v>
      </c>
      <c r="L930" s="2" t="str">
        <f>HYPERLINK("https://docs.wto.org/imrd/directdoc.asp?DDFDocuments/u/G/SPS/NKOR503.DOC")</f>
        <v>https://docs.wto.org/imrd/directdoc.asp?DDFDocuments/u/G/SPS/NKOR503.DOC</v>
      </c>
      <c r="M930" s="2" t="str">
        <f>HYPERLINK("https://docs.wto.org/imrd/directdoc.asp?DDFDocuments/v/G/SPS/NKOR503.DOC")</f>
        <v>https://docs.wto.org/imrd/directdoc.asp?DDFDocuments/v/G/SPS/NKOR503.DOC</v>
      </c>
      <c r="N930" s="2" t="str">
        <f>HYPERLINK("http://www.epingalert.org/#/details/G/SPS/N/KOR/503")</f>
        <v>http://www.epingalert.org/#/details/G/SPS/N/KOR/503</v>
      </c>
      <c r="O930" s="2" t="s">
        <v>8883</v>
      </c>
    </row>
    <row r="931" spans="1:15" ht="240" customHeight="1" outlineLevel="1" x14ac:dyDescent="0.25">
      <c r="A931" s="2" t="s">
        <v>25</v>
      </c>
      <c r="B931" s="2" t="s">
        <v>4305</v>
      </c>
      <c r="C931" s="2" t="s">
        <v>4306</v>
      </c>
      <c r="D931" s="2" t="s">
        <v>4307</v>
      </c>
      <c r="E931" s="3">
        <v>42156</v>
      </c>
      <c r="F931" s="2" t="s">
        <v>299</v>
      </c>
      <c r="G931" s="2"/>
      <c r="H931" s="2" t="s">
        <v>2425</v>
      </c>
      <c r="I931" s="2" t="s">
        <v>2903</v>
      </c>
      <c r="J931" s="3">
        <v>42216</v>
      </c>
      <c r="K931" s="2" t="str">
        <f>HYPERLINK("https://docs.wto.org/imrd/directdoc.asp?DDFDocuments/t/G/SPS/NKOR504.DOC")</f>
        <v>https://docs.wto.org/imrd/directdoc.asp?DDFDocuments/t/G/SPS/NKOR504.DOC</v>
      </c>
      <c r="L931" s="2" t="str">
        <f>HYPERLINK("https://docs.wto.org/imrd/directdoc.asp?DDFDocuments/u/G/SPS/NKOR504.DOC")</f>
        <v>https://docs.wto.org/imrd/directdoc.asp?DDFDocuments/u/G/SPS/NKOR504.DOC</v>
      </c>
      <c r="M931" s="2" t="str">
        <f>HYPERLINK("https://docs.wto.org/imrd/directdoc.asp?DDFDocuments/v/G/SPS/NKOR504.DOC")</f>
        <v>https://docs.wto.org/imrd/directdoc.asp?DDFDocuments/v/G/SPS/NKOR504.DOC</v>
      </c>
      <c r="N931" s="2" t="str">
        <f>HYPERLINK("http://www.epingalert.org/#/details/G/SPS/N/KOR/504")</f>
        <v>http://www.epingalert.org/#/details/G/SPS/N/KOR/504</v>
      </c>
      <c r="O931" s="2"/>
    </row>
    <row r="932" spans="1:15" ht="240" customHeight="1" outlineLevel="1" x14ac:dyDescent="0.25">
      <c r="A932" s="2" t="s">
        <v>77</v>
      </c>
      <c r="B932" s="2" t="s">
        <v>6658</v>
      </c>
      <c r="C932" s="2"/>
      <c r="D932" s="2"/>
      <c r="E932" s="3">
        <v>42156</v>
      </c>
      <c r="F932" s="2" t="s">
        <v>6577</v>
      </c>
      <c r="G932" s="2" t="s">
        <v>1646</v>
      </c>
      <c r="H932" s="2" t="s">
        <v>2425</v>
      </c>
      <c r="I932" s="2" t="s">
        <v>2444</v>
      </c>
      <c r="J932" s="2"/>
      <c r="K932" s="2" t="str">
        <f>HYPERLINK("https://docs.wto.org/imrd/directdoc.asp?DDFDocuments/t/G/SPS/NTPKM337A1.DOC")</f>
        <v>https://docs.wto.org/imrd/directdoc.asp?DDFDocuments/t/G/SPS/NTPKM337A1.DOC</v>
      </c>
      <c r="L932" s="2" t="str">
        <f>HYPERLINK("https://docs.wto.org/imrd/directdoc.asp?DDFDocuments/u/G/SPS/NTPKM337A1.DOC")</f>
        <v>https://docs.wto.org/imrd/directdoc.asp?DDFDocuments/u/G/SPS/NTPKM337A1.DOC</v>
      </c>
      <c r="M932" s="2" t="str">
        <f>HYPERLINK("https://docs.wto.org/imrd/directdoc.asp?DDFDocuments/v/G/SPS/NTPKM337A1.DOC")</f>
        <v>https://docs.wto.org/imrd/directdoc.asp?DDFDocuments/v/G/SPS/NTPKM337A1.DOC</v>
      </c>
      <c r="N932" s="2" t="str">
        <f>HYPERLINK("http://www.epingalert.org/#/details/G/SPS/N/TPKM/337/Add.1")</f>
        <v>http://www.epingalert.org/#/details/G/SPS/N/TPKM/337/Add.1</v>
      </c>
      <c r="O932" s="2"/>
    </row>
    <row r="933" spans="1:15" ht="240" customHeight="1" outlineLevel="1" x14ac:dyDescent="0.25">
      <c r="A933" s="2" t="s">
        <v>1042</v>
      </c>
      <c r="B933" s="2" t="s">
        <v>4308</v>
      </c>
      <c r="C933" s="2" t="s">
        <v>4309</v>
      </c>
      <c r="D933" s="2" t="s">
        <v>4310</v>
      </c>
      <c r="E933" s="3">
        <v>42151</v>
      </c>
      <c r="F933" s="2" t="s">
        <v>4311</v>
      </c>
      <c r="G933" s="2" t="s">
        <v>4312</v>
      </c>
      <c r="H933" s="2" t="s">
        <v>2425</v>
      </c>
      <c r="I933" s="2" t="s">
        <v>4313</v>
      </c>
      <c r="J933" s="3">
        <v>42216</v>
      </c>
      <c r="K933" s="2" t="str">
        <f>HYPERLINK("https://docs.wto.org/imrd/directdoc.asp?DDFDocuments/t/G/SPS/NPHL288.DOC")</f>
        <v>https://docs.wto.org/imrd/directdoc.asp?DDFDocuments/t/G/SPS/NPHL288.DOC</v>
      </c>
      <c r="L933" s="2" t="str">
        <f>HYPERLINK("https://docs.wto.org/imrd/directdoc.asp?DDFDocuments/u/G/SPS/NPHL288.DOC")</f>
        <v>https://docs.wto.org/imrd/directdoc.asp?DDFDocuments/u/G/SPS/NPHL288.DOC</v>
      </c>
      <c r="M933" s="2" t="str">
        <f>HYPERLINK("https://docs.wto.org/imrd/directdoc.asp?DDFDocuments/v/G/SPS/NPHL288.DOC")</f>
        <v>https://docs.wto.org/imrd/directdoc.asp?DDFDocuments/v/G/SPS/NPHL288.DOC</v>
      </c>
      <c r="N933" s="2" t="str">
        <f>HYPERLINK("http://www.epingalert.org/#/details/G/SPS/N/PHL/288")</f>
        <v>http://www.epingalert.org/#/details/G/SPS/N/PHL/288</v>
      </c>
      <c r="O933" s="2"/>
    </row>
    <row r="934" spans="1:15" ht="240" customHeight="1" outlineLevel="1" x14ac:dyDescent="0.25">
      <c r="A934" s="2" t="s">
        <v>1198</v>
      </c>
      <c r="B934" s="2" t="s">
        <v>7669</v>
      </c>
      <c r="C934" s="2"/>
      <c r="D934" s="2"/>
      <c r="E934" s="3">
        <v>42151</v>
      </c>
      <c r="F934" s="2" t="s">
        <v>7670</v>
      </c>
      <c r="G934" s="2" t="s">
        <v>7671</v>
      </c>
      <c r="H934" s="2" t="s">
        <v>2467</v>
      </c>
      <c r="I934" s="2" t="s">
        <v>2491</v>
      </c>
      <c r="J934" s="2"/>
      <c r="K934" s="2" t="str">
        <f>HYPERLINK("https://docs.wto.org/imrd/directdoc.asp?DDFDocuments/t/G/SPS/NECU159A1.DOC")</f>
        <v>https://docs.wto.org/imrd/directdoc.asp?DDFDocuments/t/G/SPS/NECU159A1.DOC</v>
      </c>
      <c r="L934" s="2" t="str">
        <f>HYPERLINK("https://docs.wto.org/imrd/directdoc.asp?DDFDocuments/u/G/SPS/NECU159A1.DOC")</f>
        <v>https://docs.wto.org/imrd/directdoc.asp?DDFDocuments/u/G/SPS/NECU159A1.DOC</v>
      </c>
      <c r="M934" s="2" t="str">
        <f>HYPERLINK("https://docs.wto.org/imrd/directdoc.asp?DDFDocuments/v/G/SPS/NECU159A1.DOC")</f>
        <v>https://docs.wto.org/imrd/directdoc.asp?DDFDocuments/v/G/SPS/NECU159A1.DOC</v>
      </c>
      <c r="N934" s="2" t="str">
        <f>HYPERLINK("http://www.epingalert.org/#/details/G/SPS/N/ECU/159/Add.1")</f>
        <v>http://www.epingalert.org/#/details/G/SPS/N/ECU/159/Add.1</v>
      </c>
      <c r="O934" s="2"/>
    </row>
    <row r="935" spans="1:15" ht="240" customHeight="1" outlineLevel="1" x14ac:dyDescent="0.25">
      <c r="A935" s="2" t="s">
        <v>12</v>
      </c>
      <c r="B935" s="2" t="s">
        <v>4314</v>
      </c>
      <c r="C935" s="2" t="s">
        <v>4315</v>
      </c>
      <c r="D935" s="2" t="s">
        <v>4316</v>
      </c>
      <c r="E935" s="3">
        <v>42150</v>
      </c>
      <c r="F935" s="2" t="s">
        <v>2451</v>
      </c>
      <c r="G935" s="2" t="s">
        <v>4317</v>
      </c>
      <c r="H935" s="2" t="s">
        <v>2425</v>
      </c>
      <c r="I935" s="2" t="s">
        <v>2453</v>
      </c>
      <c r="J935" s="3">
        <v>42210</v>
      </c>
      <c r="K935" s="2" t="str">
        <f>HYPERLINK("https://docs.wto.org/imrd/directdoc.asp?DDFDocuments/t/G/SPS/NEU130.DOC")</f>
        <v>https://docs.wto.org/imrd/directdoc.asp?DDFDocuments/t/G/SPS/NEU130.DOC</v>
      </c>
      <c r="L935" s="2" t="str">
        <f>HYPERLINK("https://docs.wto.org/imrd/directdoc.asp?DDFDocuments/u/G/SPS/NEU130.DOC")</f>
        <v>https://docs.wto.org/imrd/directdoc.asp?DDFDocuments/u/G/SPS/NEU130.DOC</v>
      </c>
      <c r="M935" s="2" t="str">
        <f>HYPERLINK("https://docs.wto.org/imrd/directdoc.asp?DDFDocuments/v/G/SPS/NEU130.DOC")</f>
        <v>https://docs.wto.org/imrd/directdoc.asp?DDFDocuments/v/G/SPS/NEU130.DOC</v>
      </c>
      <c r="N935" s="2" t="str">
        <f>HYPERLINK("http://www.epingalert.org/#/details/G/SPS/N/EU/130")</f>
        <v>http://www.epingalert.org/#/details/G/SPS/N/EU/130</v>
      </c>
      <c r="O935" s="2"/>
    </row>
    <row r="936" spans="1:15" ht="240" customHeight="1" outlineLevel="1" x14ac:dyDescent="0.25">
      <c r="A936" s="2" t="s">
        <v>98</v>
      </c>
      <c r="B936" s="2" t="s">
        <v>4318</v>
      </c>
      <c r="C936" s="2" t="s">
        <v>4319</v>
      </c>
      <c r="D936" s="2" t="s">
        <v>4320</v>
      </c>
      <c r="E936" s="3">
        <v>42150</v>
      </c>
      <c r="F936" s="2" t="s">
        <v>4321</v>
      </c>
      <c r="G936" s="2" t="s">
        <v>4322</v>
      </c>
      <c r="H936" s="2" t="s">
        <v>2425</v>
      </c>
      <c r="I936" s="2" t="s">
        <v>2461</v>
      </c>
      <c r="J936" s="3">
        <v>42210</v>
      </c>
      <c r="K936" s="2" t="str">
        <f>HYPERLINK("https://docs.wto.org/imrd/directdoc.asp?DDFDocuments/t/G/SPS/NZAF38.DOC")</f>
        <v>https://docs.wto.org/imrd/directdoc.asp?DDFDocuments/t/G/SPS/NZAF38.DOC</v>
      </c>
      <c r="L936" s="2" t="str">
        <f>HYPERLINK("https://docs.wto.org/imrd/directdoc.asp?DDFDocuments/u/G/SPS/NZAF38.DOC")</f>
        <v>https://docs.wto.org/imrd/directdoc.asp?DDFDocuments/u/G/SPS/NZAF38.DOC</v>
      </c>
      <c r="M936" s="2" t="str">
        <f>HYPERLINK("https://docs.wto.org/imrd/directdoc.asp?DDFDocuments/v/G/SPS/NZAF38.DOC")</f>
        <v>https://docs.wto.org/imrd/directdoc.asp?DDFDocuments/v/G/SPS/NZAF38.DOC</v>
      </c>
      <c r="N936" s="2" t="str">
        <f>HYPERLINK("http://www.epingalert.org/#/details/G/SPS/N/ZAF/38")</f>
        <v>http://www.epingalert.org/#/details/G/SPS/N/ZAF/38</v>
      </c>
      <c r="O936" s="2"/>
    </row>
    <row r="937" spans="1:15" ht="240" customHeight="1" outlineLevel="1" x14ac:dyDescent="0.25">
      <c r="A937" s="2" t="s">
        <v>1198</v>
      </c>
      <c r="B937" s="2" t="s">
        <v>7672</v>
      </c>
      <c r="C937" s="2"/>
      <c r="D937" s="2"/>
      <c r="E937" s="3">
        <v>42150</v>
      </c>
      <c r="F937" s="2"/>
      <c r="G937" s="2" t="s">
        <v>2262</v>
      </c>
      <c r="H937" s="2" t="s">
        <v>6982</v>
      </c>
      <c r="I937" s="2" t="s">
        <v>6869</v>
      </c>
      <c r="J937" s="3">
        <v>42210</v>
      </c>
      <c r="K937" s="2" t="str">
        <f>HYPERLINK("https://docs.wto.org/imrd/directdoc.asp?DDFDocuments/t/G/SPS/NECU160.DOC")</f>
        <v>https://docs.wto.org/imrd/directdoc.asp?DDFDocuments/t/G/SPS/NECU160.DOC</v>
      </c>
      <c r="L937" s="2" t="str">
        <f>HYPERLINK("https://docs.wto.org/imrd/directdoc.asp?DDFDocuments/u/G/SPS/NECU160.DOC")</f>
        <v>https://docs.wto.org/imrd/directdoc.asp?DDFDocuments/u/G/SPS/NECU160.DOC</v>
      </c>
      <c r="M937" s="2" t="str">
        <f>HYPERLINK("https://docs.wto.org/imrd/directdoc.asp?DDFDocuments/v/G/SPS/NECU160.DOC")</f>
        <v>https://docs.wto.org/imrd/directdoc.asp?DDFDocuments/v/G/SPS/NECU160.DOC</v>
      </c>
      <c r="N937" s="2" t="str">
        <f>HYPERLINK("http://www.epingalert.org/#/details/G/SPS/N/ECU/160")</f>
        <v>http://www.epingalert.org/#/details/G/SPS/N/ECU/160</v>
      </c>
      <c r="O937" s="2"/>
    </row>
    <row r="938" spans="1:15" ht="240" customHeight="1" outlineLevel="1" x14ac:dyDescent="0.25">
      <c r="A938" s="2" t="s">
        <v>225</v>
      </c>
      <c r="B938" s="2" t="s">
        <v>7673</v>
      </c>
      <c r="C938" s="2" t="s">
        <v>7674</v>
      </c>
      <c r="D938" s="2" t="s">
        <v>7675</v>
      </c>
      <c r="E938" s="3">
        <v>42146</v>
      </c>
      <c r="F938" s="2" t="s">
        <v>7374</v>
      </c>
      <c r="G938" s="2" t="s">
        <v>6227</v>
      </c>
      <c r="H938" s="2" t="s">
        <v>2425</v>
      </c>
      <c r="I938" s="2" t="s">
        <v>4334</v>
      </c>
      <c r="J938" s="3">
        <v>42209</v>
      </c>
      <c r="K938" s="2" t="str">
        <f>HYPERLINK("https://docs.wto.org/imrd/directdoc.asp?DDFDocuments/t/G/SPS/NAUS358.DOC")</f>
        <v>https://docs.wto.org/imrd/directdoc.asp?DDFDocuments/t/G/SPS/NAUS358.DOC</v>
      </c>
      <c r="L938" s="2" t="str">
        <f>HYPERLINK("https://docs.wto.org/imrd/directdoc.asp?DDFDocuments/u/G/SPS/NAUS358.DOC")</f>
        <v>https://docs.wto.org/imrd/directdoc.asp?DDFDocuments/u/G/SPS/NAUS358.DOC</v>
      </c>
      <c r="M938" s="2" t="str">
        <f>HYPERLINK("https://docs.wto.org/imrd/directdoc.asp?DDFDocuments/v/G/SPS/NAUS358.DOC")</f>
        <v>https://docs.wto.org/imrd/directdoc.asp?DDFDocuments/v/G/SPS/NAUS358.DOC</v>
      </c>
      <c r="N938" s="2" t="str">
        <f>HYPERLINK("http://www.epingalert.org/#/details/G/SPS/N/AUS/358")</f>
        <v>http://www.epingalert.org/#/details/G/SPS/N/AUS/358</v>
      </c>
      <c r="O938" s="2"/>
    </row>
    <row r="939" spans="1:15" ht="240" customHeight="1" outlineLevel="1" x14ac:dyDescent="0.25">
      <c r="A939" s="2" t="s">
        <v>225</v>
      </c>
      <c r="B939" s="2" t="s">
        <v>4332</v>
      </c>
      <c r="C939" s="2" t="s">
        <v>4333</v>
      </c>
      <c r="D939" s="2" t="s">
        <v>2494</v>
      </c>
      <c r="E939" s="3">
        <v>42146</v>
      </c>
      <c r="F939" s="2" t="s">
        <v>2430</v>
      </c>
      <c r="G939" s="2"/>
      <c r="H939" s="2" t="s">
        <v>2425</v>
      </c>
      <c r="I939" s="2" t="s">
        <v>4334</v>
      </c>
      <c r="J939" s="3">
        <v>42208</v>
      </c>
      <c r="K939" s="2" t="str">
        <f>HYPERLINK("https://docs.wto.org/imrd/directdoc.asp?DDFDocuments/t/G/SPS/NAUS359.DOC")</f>
        <v>https://docs.wto.org/imrd/directdoc.asp?DDFDocuments/t/G/SPS/NAUS359.DOC</v>
      </c>
      <c r="L939" s="2" t="str">
        <f>HYPERLINK("https://docs.wto.org/imrd/directdoc.asp?DDFDocuments/u/G/SPS/NAUS359.DOC")</f>
        <v>https://docs.wto.org/imrd/directdoc.asp?DDFDocuments/u/G/SPS/NAUS359.DOC</v>
      </c>
      <c r="M939" s="2" t="str">
        <f>HYPERLINK("https://docs.wto.org/imrd/directdoc.asp?DDFDocuments/v/G/SPS/NAUS359.DOC")</f>
        <v>https://docs.wto.org/imrd/directdoc.asp?DDFDocuments/v/G/SPS/NAUS359.DOC</v>
      </c>
      <c r="N939" s="2" t="str">
        <f>HYPERLINK("http://www.epingalert.org/#/details/G/SPS/N/AUS/359")</f>
        <v>http://www.epingalert.org/#/details/G/SPS/N/AUS/359</v>
      </c>
      <c r="O939" s="2"/>
    </row>
    <row r="940" spans="1:15" ht="240" customHeight="1" outlineLevel="1" x14ac:dyDescent="0.25">
      <c r="A940" s="2" t="s">
        <v>380</v>
      </c>
      <c r="B940" s="2" t="s">
        <v>4328</v>
      </c>
      <c r="C940" s="2" t="s">
        <v>4329</v>
      </c>
      <c r="D940" s="2" t="s">
        <v>4330</v>
      </c>
      <c r="E940" s="3">
        <v>42146</v>
      </c>
      <c r="F940" s="2" t="s">
        <v>4331</v>
      </c>
      <c r="G940" s="2"/>
      <c r="H940" s="2" t="s">
        <v>2425</v>
      </c>
      <c r="I940" s="2" t="s">
        <v>2461</v>
      </c>
      <c r="J940" s="3">
        <v>42206</v>
      </c>
      <c r="K940" s="2" t="str">
        <f>HYPERLINK("https://docs.wto.org/imrd/directdoc.asp?DDFDocuments/t/G/SPS/NCHN876.DOC")</f>
        <v>https://docs.wto.org/imrd/directdoc.asp?DDFDocuments/t/G/SPS/NCHN876.DOC</v>
      </c>
      <c r="L940" s="2" t="str">
        <f>HYPERLINK("https://docs.wto.org/imrd/directdoc.asp?DDFDocuments/u/G/SPS/NCHN876.DOC")</f>
        <v>https://docs.wto.org/imrd/directdoc.asp?DDFDocuments/u/G/SPS/NCHN876.DOC</v>
      </c>
      <c r="M940" s="2" t="str">
        <f>HYPERLINK("https://docs.wto.org/imrd/directdoc.asp?DDFDocuments/v/G/SPS/NCHN876.DOC")</f>
        <v>https://docs.wto.org/imrd/directdoc.asp?DDFDocuments/v/G/SPS/NCHN876.DOC</v>
      </c>
      <c r="N940" s="2" t="str">
        <f>HYPERLINK("http://www.epingalert.org/#/details/G/SPS/N/CHN/876")</f>
        <v>http://www.epingalert.org/#/details/G/SPS/N/CHN/876</v>
      </c>
      <c r="O940" s="2"/>
    </row>
    <row r="941" spans="1:15" ht="240" customHeight="1" outlineLevel="1" x14ac:dyDescent="0.25">
      <c r="A941" s="2" t="s">
        <v>380</v>
      </c>
      <c r="B941" s="2" t="s">
        <v>6538</v>
      </c>
      <c r="C941" s="2" t="s">
        <v>6539</v>
      </c>
      <c r="D941" s="2" t="s">
        <v>6540</v>
      </c>
      <c r="E941" s="3">
        <v>42146</v>
      </c>
      <c r="F941" s="2" t="s">
        <v>6541</v>
      </c>
      <c r="G941" s="2" t="s">
        <v>2049</v>
      </c>
      <c r="H941" s="2" t="s">
        <v>2425</v>
      </c>
      <c r="I941" s="2" t="s">
        <v>2461</v>
      </c>
      <c r="J941" s="3">
        <v>42206</v>
      </c>
      <c r="K941" s="2" t="str">
        <f>HYPERLINK("https://docs.wto.org/imrd/directdoc.asp?DDFDocuments/t/G/SPS/NCHN879.DOC")</f>
        <v>https://docs.wto.org/imrd/directdoc.asp?DDFDocuments/t/G/SPS/NCHN879.DOC</v>
      </c>
      <c r="L941" s="2" t="str">
        <f>HYPERLINK("https://docs.wto.org/imrd/directdoc.asp?DDFDocuments/u/G/SPS/NCHN879.DOC")</f>
        <v>https://docs.wto.org/imrd/directdoc.asp?DDFDocuments/u/G/SPS/NCHN879.DOC</v>
      </c>
      <c r="M941" s="2" t="str">
        <f>HYPERLINK("https://docs.wto.org/imrd/directdoc.asp?DDFDocuments/v/G/SPS/NCHN879.DOC")</f>
        <v>https://docs.wto.org/imrd/directdoc.asp?DDFDocuments/v/G/SPS/NCHN879.DOC</v>
      </c>
      <c r="N941" s="2" t="str">
        <f>HYPERLINK("http://www.epingalert.org/#/details/G/SPS/N/CHN/879")</f>
        <v>http://www.epingalert.org/#/details/G/SPS/N/CHN/879</v>
      </c>
      <c r="O941" s="2"/>
    </row>
    <row r="942" spans="1:15" ht="240" customHeight="1" outlineLevel="1" x14ac:dyDescent="0.25">
      <c r="A942" s="2" t="s">
        <v>42</v>
      </c>
      <c r="B942" s="2" t="s">
        <v>4335</v>
      </c>
      <c r="C942" s="2" t="s">
        <v>4336</v>
      </c>
      <c r="D942" s="2" t="s">
        <v>4337</v>
      </c>
      <c r="E942" s="3">
        <v>42146</v>
      </c>
      <c r="F942" s="2" t="s">
        <v>4338</v>
      </c>
      <c r="G942" s="2"/>
      <c r="H942" s="2" t="s">
        <v>2425</v>
      </c>
      <c r="I942" s="2" t="s">
        <v>2461</v>
      </c>
      <c r="J942" s="3">
        <v>42172</v>
      </c>
      <c r="K942" s="2" t="str">
        <f>HYPERLINK("https://docs.wto.org/imrd/directdoc.asp?DDFDocuments/t/G/SPS/NBRA1042.DOC")</f>
        <v>https://docs.wto.org/imrd/directdoc.asp?DDFDocuments/t/G/SPS/NBRA1042.DOC</v>
      </c>
      <c r="L942" s="2" t="str">
        <f>HYPERLINK("https://docs.wto.org/imrd/directdoc.asp?DDFDocuments/u/G/SPS/NBRA1042.DOC")</f>
        <v>https://docs.wto.org/imrd/directdoc.asp?DDFDocuments/u/G/SPS/NBRA1042.DOC</v>
      </c>
      <c r="M942" s="2" t="str">
        <f>HYPERLINK("https://docs.wto.org/imrd/directdoc.asp?DDFDocuments/v/G/SPS/NBRA1042.DOC")</f>
        <v>https://docs.wto.org/imrd/directdoc.asp?DDFDocuments/v/G/SPS/NBRA1042.DOC</v>
      </c>
      <c r="N942" s="2" t="str">
        <f>HYPERLINK("http://www.epingalert.org/#/details/G/SPS/N/BRA/1042")</f>
        <v>http://www.epingalert.org/#/details/G/SPS/N/BRA/1042</v>
      </c>
      <c r="O942" s="2"/>
    </row>
    <row r="943" spans="1:15" ht="240" customHeight="1" outlineLevel="1" x14ac:dyDescent="0.25">
      <c r="A943" s="2" t="s">
        <v>42</v>
      </c>
      <c r="B943" s="2" t="s">
        <v>4339</v>
      </c>
      <c r="C943" s="2" t="s">
        <v>4340</v>
      </c>
      <c r="D943" s="2" t="s">
        <v>4341</v>
      </c>
      <c r="E943" s="3">
        <v>42146</v>
      </c>
      <c r="F943" s="2" t="s">
        <v>4341</v>
      </c>
      <c r="G943" s="2"/>
      <c r="H943" s="2" t="s">
        <v>2425</v>
      </c>
      <c r="I943" s="2" t="s">
        <v>2461</v>
      </c>
      <c r="J943" s="3">
        <v>42172</v>
      </c>
      <c r="K943" s="2" t="str">
        <f>HYPERLINK("https://docs.wto.org/imrd/directdoc.asp?DDFDocuments/t/G/SPS/NBRA1044.DOC")</f>
        <v>https://docs.wto.org/imrd/directdoc.asp?DDFDocuments/t/G/SPS/NBRA1044.DOC</v>
      </c>
      <c r="L943" s="2" t="str">
        <f>HYPERLINK("https://docs.wto.org/imrd/directdoc.asp?DDFDocuments/u/G/SPS/NBRA1044.DOC")</f>
        <v>https://docs.wto.org/imrd/directdoc.asp?DDFDocuments/u/G/SPS/NBRA1044.DOC</v>
      </c>
      <c r="M943" s="2" t="str">
        <f>HYPERLINK("https://docs.wto.org/imrd/directdoc.asp?DDFDocuments/v/G/SPS/NBRA1044.DOC")</f>
        <v>https://docs.wto.org/imrd/directdoc.asp?DDFDocuments/v/G/SPS/NBRA1044.DOC</v>
      </c>
      <c r="N943" s="2" t="str">
        <f>HYPERLINK("http://www.epingalert.org/#/details/G/SPS/N/BRA/1044")</f>
        <v>http://www.epingalert.org/#/details/G/SPS/N/BRA/1044</v>
      </c>
      <c r="O943" s="2"/>
    </row>
    <row r="944" spans="1:15" ht="240" customHeight="1" outlineLevel="1" x14ac:dyDescent="0.25">
      <c r="A944" s="2" t="s">
        <v>42</v>
      </c>
      <c r="B944" s="2" t="s">
        <v>4342</v>
      </c>
      <c r="C944" s="2" t="s">
        <v>4343</v>
      </c>
      <c r="D944" s="2" t="s">
        <v>4344</v>
      </c>
      <c r="E944" s="3">
        <v>42146</v>
      </c>
      <c r="F944" s="2" t="s">
        <v>4344</v>
      </c>
      <c r="G944" s="2"/>
      <c r="H944" s="2" t="s">
        <v>2425</v>
      </c>
      <c r="I944" s="2"/>
      <c r="J944" s="3">
        <v>42172</v>
      </c>
      <c r="K944" s="2" t="str">
        <f>HYPERLINK("https://docs.wto.org/imrd/directdoc.asp?DDFDocuments/t/G/SPS/NBRA1043.DOC")</f>
        <v>https://docs.wto.org/imrd/directdoc.asp?DDFDocuments/t/G/SPS/NBRA1043.DOC</v>
      </c>
      <c r="L944" s="2" t="str">
        <f>HYPERLINK("https://docs.wto.org/imrd/directdoc.asp?DDFDocuments/u/G/SPS/NBRA1043.DOC")</f>
        <v>https://docs.wto.org/imrd/directdoc.asp?DDFDocuments/u/G/SPS/NBRA1043.DOC</v>
      </c>
      <c r="M944" s="2" t="str">
        <f>HYPERLINK("https://docs.wto.org/imrd/directdoc.asp?DDFDocuments/v/G/SPS/NBRA1043.DOC")</f>
        <v>https://docs.wto.org/imrd/directdoc.asp?DDFDocuments/v/G/SPS/NBRA1043.DOC</v>
      </c>
      <c r="N944" s="2" t="str">
        <f>HYPERLINK("http://www.epingalert.org/#/details/G/SPS/N/BRA/1043")</f>
        <v>http://www.epingalert.org/#/details/G/SPS/N/BRA/1043</v>
      </c>
      <c r="O944" s="2"/>
    </row>
    <row r="945" spans="1:15" ht="240" customHeight="1" outlineLevel="1" x14ac:dyDescent="0.25">
      <c r="A945" s="2" t="s">
        <v>12</v>
      </c>
      <c r="B945" s="2" t="s">
        <v>4323</v>
      </c>
      <c r="C945" s="2" t="s">
        <v>4324</v>
      </c>
      <c r="D945" s="2" t="s">
        <v>4325</v>
      </c>
      <c r="E945" s="3">
        <v>42146</v>
      </c>
      <c r="F945" s="2" t="s">
        <v>4326</v>
      </c>
      <c r="G945" s="2" t="s">
        <v>4327</v>
      </c>
      <c r="H945" s="2" t="s">
        <v>2654</v>
      </c>
      <c r="I945" s="2" t="s">
        <v>2461</v>
      </c>
      <c r="J945" s="2"/>
      <c r="K945" s="2" t="str">
        <f>HYPERLINK("https://docs.wto.org/imrd/directdoc.asp?DDFDocuments/t/G/SPS/NEU128.DOC")</f>
        <v>https://docs.wto.org/imrd/directdoc.asp?DDFDocuments/t/G/SPS/NEU128.DOC</v>
      </c>
      <c r="L945" s="2" t="str">
        <f>HYPERLINK("https://docs.wto.org/imrd/directdoc.asp?DDFDocuments/u/G/SPS/NEU128.DOC")</f>
        <v>https://docs.wto.org/imrd/directdoc.asp?DDFDocuments/u/G/SPS/NEU128.DOC</v>
      </c>
      <c r="M945" s="2" t="str">
        <f>HYPERLINK("https://docs.wto.org/imrd/directdoc.asp?DDFDocuments/v/G/SPS/NEU128.DOC")</f>
        <v>https://docs.wto.org/imrd/directdoc.asp?DDFDocuments/v/G/SPS/NEU128.DOC</v>
      </c>
      <c r="N945" s="2" t="str">
        <f>HYPERLINK("http://www.epingalert.org/#/details/G/SPS/N/EU/128")</f>
        <v>http://www.epingalert.org/#/details/G/SPS/N/EU/128</v>
      </c>
      <c r="O945" s="2"/>
    </row>
    <row r="946" spans="1:15" ht="240" customHeight="1" outlineLevel="1" x14ac:dyDescent="0.25">
      <c r="A946" s="2" t="s">
        <v>115</v>
      </c>
      <c r="B946" s="2" t="s">
        <v>4345</v>
      </c>
      <c r="C946" s="2" t="s">
        <v>2622</v>
      </c>
      <c r="D946" s="2" t="s">
        <v>4346</v>
      </c>
      <c r="E946" s="3">
        <v>42145</v>
      </c>
      <c r="F946" s="2" t="s">
        <v>4347</v>
      </c>
      <c r="G946" s="2"/>
      <c r="H946" s="2" t="s">
        <v>2425</v>
      </c>
      <c r="I946" s="2" t="s">
        <v>2426</v>
      </c>
      <c r="J946" s="2"/>
      <c r="K946" s="2" t="str">
        <f>HYPERLINK("https://docs.wto.org/imrd/directdoc.asp?DDFDocuments/t/G/SPS/NJPN412.DOC")</f>
        <v>https://docs.wto.org/imrd/directdoc.asp?DDFDocuments/t/G/SPS/NJPN412.DOC</v>
      </c>
      <c r="L946" s="2" t="str">
        <f>HYPERLINK("https://docs.wto.org/imrd/directdoc.asp?DDFDocuments/u/G/SPS/NJPN412.DOC")</f>
        <v>https://docs.wto.org/imrd/directdoc.asp?DDFDocuments/u/G/SPS/NJPN412.DOC</v>
      </c>
      <c r="M946" s="2" t="str">
        <f>HYPERLINK("https://docs.wto.org/imrd/directdoc.asp?DDFDocuments/v/G/SPS/NJPN412.DOC")</f>
        <v>https://docs.wto.org/imrd/directdoc.asp?DDFDocuments/v/G/SPS/NJPN412.DOC</v>
      </c>
      <c r="N946" s="2" t="str">
        <f>HYPERLINK("http://www.epingalert.org/#/details/G/SPS/N/JPN/412")</f>
        <v>http://www.epingalert.org/#/details/G/SPS/N/JPN/412</v>
      </c>
      <c r="O946" s="2"/>
    </row>
    <row r="947" spans="1:15" ht="240" customHeight="1" outlineLevel="1" x14ac:dyDescent="0.25">
      <c r="A947" s="2" t="s">
        <v>115</v>
      </c>
      <c r="B947" s="2" t="s">
        <v>4348</v>
      </c>
      <c r="C947" s="2" t="s">
        <v>2997</v>
      </c>
      <c r="D947" s="2" t="s">
        <v>4349</v>
      </c>
      <c r="E947" s="3">
        <v>42145</v>
      </c>
      <c r="F947" s="2" t="s">
        <v>4350</v>
      </c>
      <c r="G947" s="2"/>
      <c r="H947" s="2" t="s">
        <v>2425</v>
      </c>
      <c r="I947" s="2" t="s">
        <v>2426</v>
      </c>
      <c r="J947" s="2"/>
      <c r="K947" s="2" t="str">
        <f>HYPERLINK("https://docs.wto.org/imrd/directdoc.asp?DDFDocuments/t/G/SPS/NJPN413.DOC")</f>
        <v>https://docs.wto.org/imrd/directdoc.asp?DDFDocuments/t/G/SPS/NJPN413.DOC</v>
      </c>
      <c r="L947" s="2" t="str">
        <f>HYPERLINK("https://docs.wto.org/imrd/directdoc.asp?DDFDocuments/u/G/SPS/NJPN413.DOC")</f>
        <v>https://docs.wto.org/imrd/directdoc.asp?DDFDocuments/u/G/SPS/NJPN413.DOC</v>
      </c>
      <c r="M947" s="2" t="str">
        <f>HYPERLINK("https://docs.wto.org/imrd/directdoc.asp?DDFDocuments/v/G/SPS/NJPN413.DOC")</f>
        <v>https://docs.wto.org/imrd/directdoc.asp?DDFDocuments/v/G/SPS/NJPN413.DOC</v>
      </c>
      <c r="N947" s="2" t="str">
        <f>HYPERLINK("http://www.epingalert.org/#/details/G/SPS/N/JPN/413")</f>
        <v>http://www.epingalert.org/#/details/G/SPS/N/JPN/413</v>
      </c>
      <c r="O947" s="2"/>
    </row>
    <row r="948" spans="1:15" ht="240" customHeight="1" outlineLevel="1" x14ac:dyDescent="0.25">
      <c r="A948" s="2" t="s">
        <v>115</v>
      </c>
      <c r="B948" s="2" t="s">
        <v>4351</v>
      </c>
      <c r="C948" s="2" t="s">
        <v>2997</v>
      </c>
      <c r="D948" s="2" t="s">
        <v>4352</v>
      </c>
      <c r="E948" s="3">
        <v>42145</v>
      </c>
      <c r="F948" s="2" t="s">
        <v>4353</v>
      </c>
      <c r="G948" s="2"/>
      <c r="H948" s="2" t="s">
        <v>2425</v>
      </c>
      <c r="I948" s="2" t="s">
        <v>2426</v>
      </c>
      <c r="J948" s="2"/>
      <c r="K948" s="2" t="str">
        <f>HYPERLINK("https://docs.wto.org/imrd/directdoc.asp?DDFDocuments/t/G/SPS/NJPN414.DOC")</f>
        <v>https://docs.wto.org/imrd/directdoc.asp?DDFDocuments/t/G/SPS/NJPN414.DOC</v>
      </c>
      <c r="L948" s="2" t="str">
        <f>HYPERLINK("https://docs.wto.org/imrd/directdoc.asp?DDFDocuments/u/G/SPS/NJPN414.DOC")</f>
        <v>https://docs.wto.org/imrd/directdoc.asp?DDFDocuments/u/G/SPS/NJPN414.DOC</v>
      </c>
      <c r="M948" s="2" t="str">
        <f>HYPERLINK("https://docs.wto.org/imrd/directdoc.asp?DDFDocuments/v/G/SPS/NJPN414.DOC")</f>
        <v>https://docs.wto.org/imrd/directdoc.asp?DDFDocuments/v/G/SPS/NJPN414.DOC</v>
      </c>
      <c r="N948" s="2" t="str">
        <f>HYPERLINK("http://www.epingalert.org/#/details/G/SPS/N/JPN/414")</f>
        <v>http://www.epingalert.org/#/details/G/SPS/N/JPN/414</v>
      </c>
      <c r="O948" s="2"/>
    </row>
    <row r="949" spans="1:15" ht="240" customHeight="1" outlineLevel="1" x14ac:dyDescent="0.25">
      <c r="A949" s="2" t="s">
        <v>115</v>
      </c>
      <c r="B949" s="2" t="s">
        <v>7676</v>
      </c>
      <c r="C949" s="2" t="s">
        <v>7507</v>
      </c>
      <c r="D949" s="2" t="s">
        <v>7677</v>
      </c>
      <c r="E949" s="3">
        <v>42144</v>
      </c>
      <c r="F949" s="2" t="s">
        <v>6760</v>
      </c>
      <c r="G949" s="2" t="s">
        <v>7678</v>
      </c>
      <c r="H949" s="2" t="s">
        <v>2425</v>
      </c>
      <c r="I949" s="2" t="s">
        <v>6038</v>
      </c>
      <c r="J949" s="3">
        <v>42204</v>
      </c>
      <c r="K949" s="2" t="str">
        <f>HYPERLINK("https://docs.wto.org/imrd/directdoc.asp?DDFDocuments/t/G/SPS/NJPN387R1.DOC")</f>
        <v>https://docs.wto.org/imrd/directdoc.asp?DDFDocuments/t/G/SPS/NJPN387R1.DOC</v>
      </c>
      <c r="L949" s="2" t="str">
        <f>HYPERLINK("https://docs.wto.org/imrd/directdoc.asp?DDFDocuments/u/G/SPS/NJPN387R1.DOC")</f>
        <v>https://docs.wto.org/imrd/directdoc.asp?DDFDocuments/u/G/SPS/NJPN387R1.DOC</v>
      </c>
      <c r="M949" s="2" t="str">
        <f>HYPERLINK("https://docs.wto.org/imrd/directdoc.asp?DDFDocuments/v/G/SPS/NJPN387R1.DOC")</f>
        <v>https://docs.wto.org/imrd/directdoc.asp?DDFDocuments/v/G/SPS/NJPN387R1.DOC</v>
      </c>
      <c r="N949" s="2" t="str">
        <f>HYPERLINK("http://www.epingalert.org/#/details/G/SPS/N/JPN/387/Rev.1")</f>
        <v>http://www.epingalert.org/#/details/G/SPS/N/JPN/387/Rev.1</v>
      </c>
      <c r="O949" s="2"/>
    </row>
    <row r="950" spans="1:15" ht="240" customHeight="1" outlineLevel="1" x14ac:dyDescent="0.25">
      <c r="A950" s="2" t="s">
        <v>115</v>
      </c>
      <c r="B950" s="2" t="s">
        <v>7679</v>
      </c>
      <c r="C950" s="2" t="s">
        <v>6754</v>
      </c>
      <c r="D950" s="2" t="s">
        <v>7680</v>
      </c>
      <c r="E950" s="3">
        <v>42143</v>
      </c>
      <c r="F950" s="2" t="s">
        <v>7681</v>
      </c>
      <c r="G950" s="2" t="s">
        <v>7682</v>
      </c>
      <c r="H950" s="2" t="s">
        <v>2425</v>
      </c>
      <c r="I950" s="2" t="s">
        <v>2453</v>
      </c>
      <c r="J950" s="3">
        <v>42203</v>
      </c>
      <c r="K950" s="2" t="str">
        <f>HYPERLINK("https://docs.wto.org/imrd/directdoc.asp?DDFDocuments/t/G/SPS/NJPN408.DOC")</f>
        <v>https://docs.wto.org/imrd/directdoc.asp?DDFDocuments/t/G/SPS/NJPN408.DOC</v>
      </c>
      <c r="L950" s="2" t="str">
        <f>HYPERLINK("https://docs.wto.org/imrd/directdoc.asp?DDFDocuments/u/G/SPS/NJPN408.DOC")</f>
        <v>https://docs.wto.org/imrd/directdoc.asp?DDFDocuments/u/G/SPS/NJPN408.DOC</v>
      </c>
      <c r="M950" s="2" t="str">
        <f>HYPERLINK("https://docs.wto.org/imrd/directdoc.asp?DDFDocuments/v/G/SPS/NJPN408.DOC")</f>
        <v>https://docs.wto.org/imrd/directdoc.asp?DDFDocuments/v/G/SPS/NJPN408.DOC</v>
      </c>
      <c r="N950" s="2" t="str">
        <f>HYPERLINK("http://www.epingalert.org/#/details/G/SPS/N/JPN/408")</f>
        <v>http://www.epingalert.org/#/details/G/SPS/N/JPN/408</v>
      </c>
      <c r="O950" s="2"/>
    </row>
    <row r="951" spans="1:15" ht="240" customHeight="1" outlineLevel="1" x14ac:dyDescent="0.25">
      <c r="A951" s="2" t="s">
        <v>115</v>
      </c>
      <c r="B951" s="2" t="s">
        <v>7683</v>
      </c>
      <c r="C951" s="2" t="s">
        <v>6754</v>
      </c>
      <c r="D951" s="2" t="s">
        <v>7684</v>
      </c>
      <c r="E951" s="3">
        <v>42143</v>
      </c>
      <c r="F951" s="2" t="s">
        <v>7685</v>
      </c>
      <c r="G951" s="2" t="s">
        <v>7686</v>
      </c>
      <c r="H951" s="2" t="s">
        <v>2425</v>
      </c>
      <c r="I951" s="2" t="s">
        <v>2453</v>
      </c>
      <c r="J951" s="3">
        <v>42203</v>
      </c>
      <c r="K951" s="2" t="str">
        <f>HYPERLINK("https://docs.wto.org/imrd/directdoc.asp?DDFDocuments/t/G/SPS/NJPN409.DOC")</f>
        <v>https://docs.wto.org/imrd/directdoc.asp?DDFDocuments/t/G/SPS/NJPN409.DOC</v>
      </c>
      <c r="L951" s="2" t="str">
        <f>HYPERLINK("https://docs.wto.org/imrd/directdoc.asp?DDFDocuments/u/G/SPS/NJPN409.DOC")</f>
        <v>https://docs.wto.org/imrd/directdoc.asp?DDFDocuments/u/G/SPS/NJPN409.DOC</v>
      </c>
      <c r="M951" s="2" t="str">
        <f>HYPERLINK("https://docs.wto.org/imrd/directdoc.asp?DDFDocuments/v/G/SPS/NJPN409.DOC")</f>
        <v>https://docs.wto.org/imrd/directdoc.asp?DDFDocuments/v/G/SPS/NJPN409.DOC</v>
      </c>
      <c r="N951" s="2" t="str">
        <f>HYPERLINK("http://www.epingalert.org/#/details/G/SPS/N/JPN/409")</f>
        <v>http://www.epingalert.org/#/details/G/SPS/N/JPN/409</v>
      </c>
      <c r="O951" s="2"/>
    </row>
    <row r="952" spans="1:15" ht="240" customHeight="1" outlineLevel="1" x14ac:dyDescent="0.25">
      <c r="A952" s="2" t="s">
        <v>115</v>
      </c>
      <c r="B952" s="2" t="s">
        <v>7687</v>
      </c>
      <c r="C952" s="2" t="s">
        <v>6754</v>
      </c>
      <c r="D952" s="2" t="s">
        <v>7688</v>
      </c>
      <c r="E952" s="3">
        <v>42143</v>
      </c>
      <c r="F952" s="2" t="s">
        <v>6760</v>
      </c>
      <c r="G952" s="2" t="s">
        <v>7689</v>
      </c>
      <c r="H952" s="2" t="s">
        <v>2425</v>
      </c>
      <c r="I952" s="2" t="s">
        <v>2453</v>
      </c>
      <c r="J952" s="3">
        <v>42203</v>
      </c>
      <c r="K952" s="2" t="str">
        <f>HYPERLINK("https://docs.wto.org/imrd/directdoc.asp?DDFDocuments/t/G/SPS/NJPN407.DOC")</f>
        <v>https://docs.wto.org/imrd/directdoc.asp?DDFDocuments/t/G/SPS/NJPN407.DOC</v>
      </c>
      <c r="L952" s="2" t="str">
        <f>HYPERLINK("https://docs.wto.org/imrd/directdoc.asp?DDFDocuments/u/G/SPS/NJPN407.DOC")</f>
        <v>https://docs.wto.org/imrd/directdoc.asp?DDFDocuments/u/G/SPS/NJPN407.DOC</v>
      </c>
      <c r="M952" s="2" t="str">
        <f>HYPERLINK("https://docs.wto.org/imrd/directdoc.asp?DDFDocuments/v/G/SPS/NJPN407.DOC")</f>
        <v>https://docs.wto.org/imrd/directdoc.asp?DDFDocuments/v/G/SPS/NJPN407.DOC</v>
      </c>
      <c r="N952" s="2" t="str">
        <f>HYPERLINK("http://www.epingalert.org/#/details/G/SPS/N/JPN/407")</f>
        <v>http://www.epingalert.org/#/details/G/SPS/N/JPN/407</v>
      </c>
      <c r="O952" s="2"/>
    </row>
    <row r="953" spans="1:15" ht="240" customHeight="1" outlineLevel="1" x14ac:dyDescent="0.25">
      <c r="A953" s="2" t="s">
        <v>115</v>
      </c>
      <c r="B953" s="2" t="s">
        <v>7690</v>
      </c>
      <c r="C953" s="2" t="s">
        <v>6754</v>
      </c>
      <c r="D953" s="2" t="s">
        <v>7691</v>
      </c>
      <c r="E953" s="3">
        <v>42143</v>
      </c>
      <c r="F953" s="2" t="s">
        <v>7692</v>
      </c>
      <c r="G953" s="2" t="s">
        <v>7693</v>
      </c>
      <c r="H953" s="2" t="s">
        <v>2425</v>
      </c>
      <c r="I953" s="2" t="s">
        <v>6038</v>
      </c>
      <c r="J953" s="3">
        <v>42203</v>
      </c>
      <c r="K953" s="2" t="str">
        <f>HYPERLINK("https://docs.wto.org/imrd/directdoc.asp?DDFDocuments/t/G/SPS/NJPN406.DOC")</f>
        <v>https://docs.wto.org/imrd/directdoc.asp?DDFDocuments/t/G/SPS/NJPN406.DOC</v>
      </c>
      <c r="L953" s="2" t="str">
        <f>HYPERLINK("https://docs.wto.org/imrd/directdoc.asp?DDFDocuments/u/G/SPS/NJPN406.DOC")</f>
        <v>https://docs.wto.org/imrd/directdoc.asp?DDFDocuments/u/G/SPS/NJPN406.DOC</v>
      </c>
      <c r="M953" s="2" t="str">
        <f>HYPERLINK("https://docs.wto.org/imrd/directdoc.asp?DDFDocuments/v/G/SPS/NJPN406.DOC")</f>
        <v>https://docs.wto.org/imrd/directdoc.asp?DDFDocuments/v/G/SPS/NJPN406.DOC</v>
      </c>
      <c r="N953" s="2" t="str">
        <f>HYPERLINK("http://www.epingalert.org/#/details/G/SPS/N/JPN/406")</f>
        <v>http://www.epingalert.org/#/details/G/SPS/N/JPN/406</v>
      </c>
      <c r="O953" s="2"/>
    </row>
    <row r="954" spans="1:15" ht="240" customHeight="1" outlineLevel="1" x14ac:dyDescent="0.25">
      <c r="A954" s="2" t="s">
        <v>115</v>
      </c>
      <c r="B954" s="2" t="s">
        <v>7694</v>
      </c>
      <c r="C954" s="2" t="s">
        <v>6754</v>
      </c>
      <c r="D954" s="2" t="s">
        <v>7695</v>
      </c>
      <c r="E954" s="3">
        <v>42143</v>
      </c>
      <c r="F954" s="2" t="s">
        <v>7696</v>
      </c>
      <c r="G954" s="2" t="s">
        <v>7697</v>
      </c>
      <c r="H954" s="2" t="s">
        <v>2425</v>
      </c>
      <c r="I954" s="2" t="s">
        <v>2453</v>
      </c>
      <c r="J954" s="3">
        <v>42203</v>
      </c>
      <c r="K954" s="2" t="str">
        <f>HYPERLINK("https://docs.wto.org/imrd/directdoc.asp?DDFDocuments/t/G/SPS/NJPN411.DOC")</f>
        <v>https://docs.wto.org/imrd/directdoc.asp?DDFDocuments/t/G/SPS/NJPN411.DOC</v>
      </c>
      <c r="L954" s="2" t="str">
        <f>HYPERLINK("https://docs.wto.org/imrd/directdoc.asp?DDFDocuments/u/G/SPS/NJPN411.DOC")</f>
        <v>https://docs.wto.org/imrd/directdoc.asp?DDFDocuments/u/G/SPS/NJPN411.DOC</v>
      </c>
      <c r="M954" s="2" t="str">
        <f>HYPERLINK("https://docs.wto.org/imrd/directdoc.asp?DDFDocuments/v/G/SPS/NJPN411.DOC")</f>
        <v>https://docs.wto.org/imrd/directdoc.asp?DDFDocuments/v/G/SPS/NJPN411.DOC</v>
      </c>
      <c r="N954" s="2" t="str">
        <f>HYPERLINK("http://www.epingalert.org/#/details/G/SPS/N/JPN/411")</f>
        <v>http://www.epingalert.org/#/details/G/SPS/N/JPN/411</v>
      </c>
      <c r="O954" s="2"/>
    </row>
    <row r="955" spans="1:15" ht="240" customHeight="1" outlineLevel="1" x14ac:dyDescent="0.25">
      <c r="A955" s="2" t="s">
        <v>115</v>
      </c>
      <c r="B955" s="2" t="s">
        <v>7698</v>
      </c>
      <c r="C955" s="2" t="s">
        <v>6754</v>
      </c>
      <c r="D955" s="2" t="s">
        <v>7699</v>
      </c>
      <c r="E955" s="3">
        <v>42143</v>
      </c>
      <c r="F955" s="2" t="s">
        <v>6760</v>
      </c>
      <c r="G955" s="2" t="s">
        <v>7700</v>
      </c>
      <c r="H955" s="2" t="s">
        <v>2425</v>
      </c>
      <c r="I955" s="2" t="s">
        <v>2453</v>
      </c>
      <c r="J955" s="3">
        <v>42203</v>
      </c>
      <c r="K955" s="2" t="str">
        <f>HYPERLINK("https://docs.wto.org/imrd/directdoc.asp?DDFDocuments/t/G/SPS/NJPN410.DOC")</f>
        <v>https://docs.wto.org/imrd/directdoc.asp?DDFDocuments/t/G/SPS/NJPN410.DOC</v>
      </c>
      <c r="L955" s="2" t="str">
        <f>HYPERLINK("https://docs.wto.org/imrd/directdoc.asp?DDFDocuments/u/G/SPS/NJPN410.DOC")</f>
        <v>https://docs.wto.org/imrd/directdoc.asp?DDFDocuments/u/G/SPS/NJPN410.DOC</v>
      </c>
      <c r="M955" s="2" t="str">
        <f>HYPERLINK("https://docs.wto.org/imrd/directdoc.asp?DDFDocuments/v/G/SPS/NJPN410.DOC")</f>
        <v>https://docs.wto.org/imrd/directdoc.asp?DDFDocuments/v/G/SPS/NJPN410.DOC</v>
      </c>
      <c r="N955" s="2" t="str">
        <f>HYPERLINK("http://www.epingalert.org/#/details/G/SPS/N/JPN/410")</f>
        <v>http://www.epingalert.org/#/details/G/SPS/N/JPN/410</v>
      </c>
      <c r="O955" s="2"/>
    </row>
    <row r="956" spans="1:15" ht="240" customHeight="1" outlineLevel="1" x14ac:dyDescent="0.25">
      <c r="A956" s="2" t="s">
        <v>173</v>
      </c>
      <c r="B956" s="2" t="s">
        <v>7705</v>
      </c>
      <c r="C956" s="2" t="s">
        <v>7706</v>
      </c>
      <c r="D956" s="2" t="s">
        <v>7707</v>
      </c>
      <c r="E956" s="3">
        <v>42142</v>
      </c>
      <c r="F956" s="2" t="s">
        <v>7708</v>
      </c>
      <c r="G956" s="2" t="s">
        <v>7229</v>
      </c>
      <c r="H956" s="2" t="s">
        <v>2425</v>
      </c>
      <c r="I956" s="2" t="s">
        <v>2461</v>
      </c>
      <c r="J956" s="3">
        <v>42202</v>
      </c>
      <c r="K956" s="2" t="str">
        <f>HYPERLINK("https://docs.wto.org/imrd/directdoc.asp?DDFDocuments/t/G/SPS/NSAU157.DOC")</f>
        <v>https://docs.wto.org/imrd/directdoc.asp?DDFDocuments/t/G/SPS/NSAU157.DOC</v>
      </c>
      <c r="L956" s="2" t="str">
        <f>HYPERLINK("https://docs.wto.org/imrd/directdoc.asp?DDFDocuments/u/G/SPS/NSAU157.DOC")</f>
        <v>https://docs.wto.org/imrd/directdoc.asp?DDFDocuments/u/G/SPS/NSAU157.DOC</v>
      </c>
      <c r="M956" s="2" t="str">
        <f>HYPERLINK("https://docs.wto.org/imrd/directdoc.asp?DDFDocuments/v/G/SPS/NSAU157.DOC")</f>
        <v>https://docs.wto.org/imrd/directdoc.asp?DDFDocuments/v/G/SPS/NSAU157.DOC</v>
      </c>
      <c r="N956" s="2" t="str">
        <f>HYPERLINK("http://www.epingalert.org/#/details/G/SPS/N/SAU/157")</f>
        <v>http://www.epingalert.org/#/details/G/SPS/N/SAU/157</v>
      </c>
      <c r="O956" s="2"/>
    </row>
    <row r="957" spans="1:15" ht="240" customHeight="1" outlineLevel="1" x14ac:dyDescent="0.25">
      <c r="A957" s="2" t="s">
        <v>18</v>
      </c>
      <c r="B957" s="2" t="s">
        <v>7701</v>
      </c>
      <c r="C957" s="2"/>
      <c r="D957" s="2"/>
      <c r="E957" s="3">
        <v>42142</v>
      </c>
      <c r="F957" s="2" t="s">
        <v>7702</v>
      </c>
      <c r="G957" s="2" t="s">
        <v>7703</v>
      </c>
      <c r="H957" s="2" t="s">
        <v>2425</v>
      </c>
      <c r="I957" s="2" t="s">
        <v>7704</v>
      </c>
      <c r="J957" s="2"/>
      <c r="K957" s="2" t="str">
        <f>HYPERLINK("https://docs.wto.org/imrd/directdoc.asp?DDFDocuments/t/G/SPS/NUSA2511A2.DOC")</f>
        <v>https://docs.wto.org/imrd/directdoc.asp?DDFDocuments/t/G/SPS/NUSA2511A2.DOC</v>
      </c>
      <c r="L957" s="2" t="str">
        <f>HYPERLINK("https://docs.wto.org/imrd/directdoc.asp?DDFDocuments/u/G/SPS/NUSA2511A2.DOC")</f>
        <v>https://docs.wto.org/imrd/directdoc.asp?DDFDocuments/u/G/SPS/NUSA2511A2.DOC</v>
      </c>
      <c r="M957" s="2" t="str">
        <f>HYPERLINK("https://docs.wto.org/imrd/directdoc.asp?DDFDocuments/v/G/SPS/NUSA2511A2.DOC")</f>
        <v>https://docs.wto.org/imrd/directdoc.asp?DDFDocuments/v/G/SPS/NUSA2511A2.DOC</v>
      </c>
      <c r="N957" s="2" t="str">
        <f>HYPERLINK("http://www.epingalert.org/#/details/G/SPS/N/USA/2511/Add.2")</f>
        <v>http://www.epingalert.org/#/details/G/SPS/N/USA/2511/Add.2</v>
      </c>
      <c r="O957" s="2"/>
    </row>
    <row r="958" spans="1:15" ht="240" customHeight="1" outlineLevel="1" x14ac:dyDescent="0.25">
      <c r="A958" s="2" t="s">
        <v>42</v>
      </c>
      <c r="B958" s="2" t="s">
        <v>4354</v>
      </c>
      <c r="C958" s="2" t="s">
        <v>4355</v>
      </c>
      <c r="D958" s="2" t="s">
        <v>4356</v>
      </c>
      <c r="E958" s="3">
        <v>42137</v>
      </c>
      <c r="F958" s="2" t="s">
        <v>4357</v>
      </c>
      <c r="G958" s="2"/>
      <c r="H958" s="2" t="s">
        <v>2425</v>
      </c>
      <c r="I958" s="2" t="s">
        <v>2453</v>
      </c>
      <c r="J958" s="3">
        <v>42161</v>
      </c>
      <c r="K958" s="2" t="str">
        <f>HYPERLINK("https://docs.wto.org/imrd/directdoc.asp?DDFDocuments/t/G/SPS/NBRA1040.DOC")</f>
        <v>https://docs.wto.org/imrd/directdoc.asp?DDFDocuments/t/G/SPS/NBRA1040.DOC</v>
      </c>
      <c r="L958" s="2" t="str">
        <f>HYPERLINK("https://docs.wto.org/imrd/directdoc.asp?DDFDocuments/u/G/SPS/NBRA1040.DOC")</f>
        <v>https://docs.wto.org/imrd/directdoc.asp?DDFDocuments/u/G/SPS/NBRA1040.DOC</v>
      </c>
      <c r="M958" s="2" t="str">
        <f>HYPERLINK("https://docs.wto.org/imrd/directdoc.asp?DDFDocuments/v/G/SPS/NBRA1040.DOC")</f>
        <v>https://docs.wto.org/imrd/directdoc.asp?DDFDocuments/v/G/SPS/NBRA1040.DOC</v>
      </c>
      <c r="N958" s="2" t="str">
        <f>HYPERLINK("http://www.epingalert.org/#/details/G/SPS/N/BRA/1040")</f>
        <v>http://www.epingalert.org/#/details/G/SPS/N/BRA/1040</v>
      </c>
      <c r="O958" s="2"/>
    </row>
    <row r="959" spans="1:15" ht="240" customHeight="1" outlineLevel="1" x14ac:dyDescent="0.25">
      <c r="A959" s="2" t="s">
        <v>42</v>
      </c>
      <c r="B959" s="2" t="s">
        <v>4358</v>
      </c>
      <c r="C959" s="2" t="s">
        <v>4359</v>
      </c>
      <c r="D959" s="2" t="s">
        <v>4360</v>
      </c>
      <c r="E959" s="3">
        <v>42137</v>
      </c>
      <c r="F959" s="2" t="s">
        <v>4361</v>
      </c>
      <c r="G959" s="2"/>
      <c r="H959" s="2" t="s">
        <v>2425</v>
      </c>
      <c r="I959" s="2" t="s">
        <v>4362</v>
      </c>
      <c r="J959" s="3">
        <v>42161</v>
      </c>
      <c r="K959" s="2" t="str">
        <f>HYPERLINK("https://docs.wto.org/imrd/directdoc.asp?DDFDocuments/t/G/SPS/NBRA1039.DOC")</f>
        <v>https://docs.wto.org/imrd/directdoc.asp?DDFDocuments/t/G/SPS/NBRA1039.DOC</v>
      </c>
      <c r="L959" s="2" t="str">
        <f>HYPERLINK("https://docs.wto.org/imrd/directdoc.asp?DDFDocuments/u/G/SPS/NBRA1039.DOC")</f>
        <v>https://docs.wto.org/imrd/directdoc.asp?DDFDocuments/u/G/SPS/NBRA1039.DOC</v>
      </c>
      <c r="M959" s="2" t="str">
        <f>HYPERLINK("https://docs.wto.org/imrd/directdoc.asp?DDFDocuments/v/G/SPS/NBRA1039.DOC")</f>
        <v>https://docs.wto.org/imrd/directdoc.asp?DDFDocuments/v/G/SPS/NBRA1039.DOC</v>
      </c>
      <c r="N959" s="2" t="str">
        <f>HYPERLINK("http://www.epingalert.org/#/details/G/SPS/N/BRA/1039")</f>
        <v>http://www.epingalert.org/#/details/G/SPS/N/BRA/1039</v>
      </c>
      <c r="O959" s="2"/>
    </row>
    <row r="960" spans="1:15" ht="240" customHeight="1" outlineLevel="1" x14ac:dyDescent="0.25">
      <c r="A960" s="2" t="s">
        <v>42</v>
      </c>
      <c r="B960" s="2" t="s">
        <v>4363</v>
      </c>
      <c r="C960" s="2" t="s">
        <v>4364</v>
      </c>
      <c r="D960" s="2" t="s">
        <v>4365</v>
      </c>
      <c r="E960" s="3">
        <v>42137</v>
      </c>
      <c r="F960" s="2" t="s">
        <v>4365</v>
      </c>
      <c r="G960" s="2"/>
      <c r="H960" s="2" t="s">
        <v>2425</v>
      </c>
      <c r="I960" s="2" t="s">
        <v>2453</v>
      </c>
      <c r="J960" s="3">
        <v>42161</v>
      </c>
      <c r="K960" s="2" t="str">
        <f>HYPERLINK("https://docs.wto.org/imrd/directdoc.asp?DDFDocuments/t/G/SPS/NBRA1041.DOC")</f>
        <v>https://docs.wto.org/imrd/directdoc.asp?DDFDocuments/t/G/SPS/NBRA1041.DOC</v>
      </c>
      <c r="L960" s="2" t="str">
        <f>HYPERLINK("https://docs.wto.org/imrd/directdoc.asp?DDFDocuments/u/G/SPS/NBRA1041.DOC")</f>
        <v>https://docs.wto.org/imrd/directdoc.asp?DDFDocuments/u/G/SPS/NBRA1041.DOC</v>
      </c>
      <c r="M960" s="2" t="str">
        <f>HYPERLINK("https://docs.wto.org/imrd/directdoc.asp?DDFDocuments/v/G/SPS/NBRA1041.DOC")</f>
        <v>https://docs.wto.org/imrd/directdoc.asp?DDFDocuments/v/G/SPS/NBRA1041.DOC</v>
      </c>
      <c r="N960" s="2" t="str">
        <f>HYPERLINK("http://www.epingalert.org/#/details/G/SPS/N/BRA/1041")</f>
        <v>http://www.epingalert.org/#/details/G/SPS/N/BRA/1041</v>
      </c>
      <c r="O960" s="2"/>
    </row>
    <row r="961" spans="1:15" ht="240" customHeight="1" outlineLevel="1" x14ac:dyDescent="0.25">
      <c r="A961" s="2" t="s">
        <v>128</v>
      </c>
      <c r="B961" s="2" t="s">
        <v>7709</v>
      </c>
      <c r="C961" s="2"/>
      <c r="D961" s="2"/>
      <c r="E961" s="3">
        <v>42137</v>
      </c>
      <c r="F961" s="2" t="s">
        <v>7710</v>
      </c>
      <c r="G961" s="2" t="s">
        <v>7711</v>
      </c>
      <c r="H961" s="2" t="s">
        <v>6741</v>
      </c>
      <c r="I961" s="2" t="s">
        <v>2491</v>
      </c>
      <c r="J961" s="2"/>
      <c r="K961" s="2" t="str">
        <f>HYPERLINK("https://docs.wto.org/imrd/directdoc.asp?DDFDocuments/t/G/SPS/NPER542A3.DOC")</f>
        <v>https://docs.wto.org/imrd/directdoc.asp?DDFDocuments/t/G/SPS/NPER542A3.DOC</v>
      </c>
      <c r="L961" s="2" t="str">
        <f>HYPERLINK("https://docs.wto.org/imrd/directdoc.asp?DDFDocuments/u/G/SPS/NPER542A3.DOC")</f>
        <v>https://docs.wto.org/imrd/directdoc.asp?DDFDocuments/u/G/SPS/NPER542A3.DOC</v>
      </c>
      <c r="M961" s="2" t="str">
        <f>HYPERLINK("https://docs.wto.org/imrd/directdoc.asp?DDFDocuments/v/G/SPS/NPER542A3.DOC")</f>
        <v>https://docs.wto.org/imrd/directdoc.asp?DDFDocuments/v/G/SPS/NPER542A3.DOC</v>
      </c>
      <c r="N961" s="2" t="str">
        <f>HYPERLINK("http://www.epingalert.org/#/details/G/SPS/N/PER/542/Add.3")</f>
        <v>http://www.epingalert.org/#/details/G/SPS/N/PER/542/Add.3</v>
      </c>
      <c r="O961" s="2"/>
    </row>
    <row r="962" spans="1:15" ht="240" customHeight="1" outlineLevel="1" x14ac:dyDescent="0.25">
      <c r="A962" s="2" t="s">
        <v>128</v>
      </c>
      <c r="B962" s="2" t="s">
        <v>7712</v>
      </c>
      <c r="C962" s="2"/>
      <c r="D962" s="2"/>
      <c r="E962" s="3">
        <v>42137</v>
      </c>
      <c r="F962" s="2" t="s">
        <v>7713</v>
      </c>
      <c r="G962" s="2" t="s">
        <v>7711</v>
      </c>
      <c r="H962" s="2" t="s">
        <v>6741</v>
      </c>
      <c r="I962" s="2" t="s">
        <v>2491</v>
      </c>
      <c r="J962" s="2"/>
      <c r="K962" s="2" t="str">
        <f>HYPERLINK("https://docs.wto.org/imrd/directdoc.asp?DDFDocuments/t/G/SPS/NPER493A1.DOC")</f>
        <v>https://docs.wto.org/imrd/directdoc.asp?DDFDocuments/t/G/SPS/NPER493A1.DOC</v>
      </c>
      <c r="L962" s="2" t="str">
        <f>HYPERLINK("https://docs.wto.org/imrd/directdoc.asp?DDFDocuments/u/G/SPS/NPER493A1.DOC")</f>
        <v>https://docs.wto.org/imrd/directdoc.asp?DDFDocuments/u/G/SPS/NPER493A1.DOC</v>
      </c>
      <c r="M962" s="2" t="str">
        <f>HYPERLINK("https://docs.wto.org/imrd/directdoc.asp?DDFDocuments/v/G/SPS/NPER493A1.DOC")</f>
        <v>https://docs.wto.org/imrd/directdoc.asp?DDFDocuments/v/G/SPS/NPER493A1.DOC</v>
      </c>
      <c r="N962" s="2" t="str">
        <f>HYPERLINK("http://www.epingalert.org/#/details/G/SPS/N/PER/493/Add.1")</f>
        <v>http://www.epingalert.org/#/details/G/SPS/N/PER/493/Add.1</v>
      </c>
      <c r="O962" s="2"/>
    </row>
    <row r="963" spans="1:15" ht="240" customHeight="1" outlineLevel="1" x14ac:dyDescent="0.25">
      <c r="A963" s="2" t="s">
        <v>128</v>
      </c>
      <c r="B963" s="2" t="s">
        <v>7714</v>
      </c>
      <c r="C963" s="2"/>
      <c r="D963" s="2"/>
      <c r="E963" s="3">
        <v>42137</v>
      </c>
      <c r="F963" s="2" t="s">
        <v>7710</v>
      </c>
      <c r="G963" s="2" t="s">
        <v>7711</v>
      </c>
      <c r="H963" s="2" t="s">
        <v>6741</v>
      </c>
      <c r="I963" s="2" t="s">
        <v>2491</v>
      </c>
      <c r="J963" s="2"/>
      <c r="K963" s="2" t="str">
        <f>HYPERLINK("https://docs.wto.org/imrd/directdoc.asp?DDFDocuments/t/G/SPS/NPER492A1.DOC")</f>
        <v>https://docs.wto.org/imrd/directdoc.asp?DDFDocuments/t/G/SPS/NPER492A1.DOC</v>
      </c>
      <c r="L963" s="2" t="str">
        <f>HYPERLINK("https://docs.wto.org/imrd/directdoc.asp?DDFDocuments/u/G/SPS/NPER492A1.DOC")</f>
        <v>https://docs.wto.org/imrd/directdoc.asp?DDFDocuments/u/G/SPS/NPER492A1.DOC</v>
      </c>
      <c r="M963" s="2" t="str">
        <f>HYPERLINK("https://docs.wto.org/imrd/directdoc.asp?DDFDocuments/v/G/SPS/NPER492A1.DOC")</f>
        <v>https://docs.wto.org/imrd/directdoc.asp?DDFDocuments/v/G/SPS/NPER492A1.DOC</v>
      </c>
      <c r="N963" s="2" t="str">
        <f>HYPERLINK("http://www.epingalert.org/#/details/G/SPS/N/PER/492/Add.1")</f>
        <v>http://www.epingalert.org/#/details/G/SPS/N/PER/492/Add.1</v>
      </c>
      <c r="O963" s="2"/>
    </row>
    <row r="964" spans="1:15" ht="240" customHeight="1" outlineLevel="1" x14ac:dyDescent="0.25">
      <c r="A964" s="2" t="s">
        <v>185</v>
      </c>
      <c r="B964" s="2" t="s">
        <v>7715</v>
      </c>
      <c r="C964" s="2"/>
      <c r="D964" s="2"/>
      <c r="E964" s="3">
        <v>42137</v>
      </c>
      <c r="F964" s="2" t="s">
        <v>7336</v>
      </c>
      <c r="G964" s="2" t="s">
        <v>2381</v>
      </c>
      <c r="H964" s="2" t="s">
        <v>2425</v>
      </c>
      <c r="I964" s="2" t="s">
        <v>2672</v>
      </c>
      <c r="J964" s="2"/>
      <c r="K964" s="2" t="str">
        <f>HYPERLINK("https://docs.wto.org/imrd/directdoc.asp?DDFDocuments/t/G/SPS/NEGY61A1.DOC")</f>
        <v>https://docs.wto.org/imrd/directdoc.asp?DDFDocuments/t/G/SPS/NEGY61A1.DOC</v>
      </c>
      <c r="L964" s="2" t="str">
        <f>HYPERLINK("https://docs.wto.org/imrd/directdoc.asp?DDFDocuments/u/G/SPS/NEGY61A1.DOC")</f>
        <v>https://docs.wto.org/imrd/directdoc.asp?DDFDocuments/u/G/SPS/NEGY61A1.DOC</v>
      </c>
      <c r="M964" s="2" t="str">
        <f>HYPERLINK("https://docs.wto.org/imrd/directdoc.asp?DDFDocuments/v/G/SPS/NEGY61A1.DOC")</f>
        <v>https://docs.wto.org/imrd/directdoc.asp?DDFDocuments/v/G/SPS/NEGY61A1.DOC</v>
      </c>
      <c r="N964" s="2" t="str">
        <f>HYPERLINK("http://www.epingalert.org/#/details/G/SPS/N/EGY/61/Add.1")</f>
        <v>http://www.epingalert.org/#/details/G/SPS/N/EGY/61/Add.1</v>
      </c>
      <c r="O964" s="2"/>
    </row>
    <row r="965" spans="1:15" ht="240" customHeight="1" outlineLevel="1" x14ac:dyDescent="0.25">
      <c r="A965" s="2" t="s">
        <v>185</v>
      </c>
      <c r="B965" s="2" t="s">
        <v>7716</v>
      </c>
      <c r="C965" s="2"/>
      <c r="D965" s="2"/>
      <c r="E965" s="3">
        <v>42137</v>
      </c>
      <c r="F965" s="2" t="s">
        <v>6903</v>
      </c>
      <c r="G965" s="2" t="s">
        <v>6904</v>
      </c>
      <c r="H965" s="2" t="s">
        <v>2425</v>
      </c>
      <c r="I965" s="2" t="s">
        <v>2672</v>
      </c>
      <c r="J965" s="2"/>
      <c r="K965" s="2" t="str">
        <f>HYPERLINK("https://docs.wto.org/imrd/directdoc.asp?DDFDocuments/t/G/SPS/NEGY60A1.DOC")</f>
        <v>https://docs.wto.org/imrd/directdoc.asp?DDFDocuments/t/G/SPS/NEGY60A1.DOC</v>
      </c>
      <c r="L965" s="2" t="str">
        <f>HYPERLINK("https://docs.wto.org/imrd/directdoc.asp?DDFDocuments/u/G/SPS/NEGY60A1.DOC")</f>
        <v>https://docs.wto.org/imrd/directdoc.asp?DDFDocuments/u/G/SPS/NEGY60A1.DOC</v>
      </c>
      <c r="M965" s="2" t="str">
        <f>HYPERLINK("https://docs.wto.org/imrd/directdoc.asp?DDFDocuments/v/G/SPS/NEGY60A1.DOC")</f>
        <v>https://docs.wto.org/imrd/directdoc.asp?DDFDocuments/v/G/SPS/NEGY60A1.DOC</v>
      </c>
      <c r="N965" s="2" t="str">
        <f>HYPERLINK("http://www.epingalert.org/#/details/G/SPS/N/EGY/60/Add.1")</f>
        <v>http://www.epingalert.org/#/details/G/SPS/N/EGY/60/Add.1</v>
      </c>
      <c r="O965" s="2"/>
    </row>
    <row r="966" spans="1:15" ht="240" customHeight="1" outlineLevel="1" x14ac:dyDescent="0.25">
      <c r="A966" s="2" t="s">
        <v>185</v>
      </c>
      <c r="B966" s="2" t="s">
        <v>7717</v>
      </c>
      <c r="C966" s="2"/>
      <c r="D966" s="2"/>
      <c r="E966" s="3">
        <v>42137</v>
      </c>
      <c r="F966" s="2" t="s">
        <v>7336</v>
      </c>
      <c r="G966" s="2" t="s">
        <v>7229</v>
      </c>
      <c r="H966" s="2" t="s">
        <v>2425</v>
      </c>
      <c r="I966" s="2" t="s">
        <v>2672</v>
      </c>
      <c r="J966" s="2"/>
      <c r="K966" s="2" t="str">
        <f>HYPERLINK("https://docs.wto.org/imrd/directdoc.asp?DDFDocuments/t/G/SPS/NEGY59A1.DOC")</f>
        <v>https://docs.wto.org/imrd/directdoc.asp?DDFDocuments/t/G/SPS/NEGY59A1.DOC</v>
      </c>
      <c r="L966" s="2" t="str">
        <f>HYPERLINK("https://docs.wto.org/imrd/directdoc.asp?DDFDocuments/u/G/SPS/NEGY59A1.DOC")</f>
        <v>https://docs.wto.org/imrd/directdoc.asp?DDFDocuments/u/G/SPS/NEGY59A1.DOC</v>
      </c>
      <c r="M966" s="2" t="str">
        <f>HYPERLINK("https://docs.wto.org/imrd/directdoc.asp?DDFDocuments/v/G/SPS/NEGY59A1.DOC")</f>
        <v>https://docs.wto.org/imrd/directdoc.asp?DDFDocuments/v/G/SPS/NEGY59A1.DOC</v>
      </c>
      <c r="N966" s="2" t="str">
        <f>HYPERLINK("http://www.epingalert.org/#/details/G/SPS/N/EGY/59/Add.1")</f>
        <v>http://www.epingalert.org/#/details/G/SPS/N/EGY/59/Add.1</v>
      </c>
      <c r="O966" s="2"/>
    </row>
    <row r="967" spans="1:15" ht="240" customHeight="1" outlineLevel="1" x14ac:dyDescent="0.25">
      <c r="A967" s="2" t="s">
        <v>179</v>
      </c>
      <c r="B967" s="2" t="s">
        <v>4366</v>
      </c>
      <c r="C967" s="2" t="s">
        <v>4367</v>
      </c>
      <c r="D967" s="2" t="s">
        <v>4368</v>
      </c>
      <c r="E967" s="3">
        <v>42136</v>
      </c>
      <c r="F967" s="2" t="s">
        <v>4369</v>
      </c>
      <c r="G967" s="2"/>
      <c r="H967" s="2" t="s">
        <v>2425</v>
      </c>
      <c r="I967" s="2" t="s">
        <v>2535</v>
      </c>
      <c r="J967" s="3">
        <v>42196</v>
      </c>
      <c r="K967" s="2" t="str">
        <f>HYPERLINK("https://docs.wto.org/imrd/directdoc.asp?DDFDocuments/t/G/SPS/NOMN55.DOC")</f>
        <v>https://docs.wto.org/imrd/directdoc.asp?DDFDocuments/t/G/SPS/NOMN55.DOC</v>
      </c>
      <c r="L967" s="2" t="str">
        <f>HYPERLINK("https://docs.wto.org/imrd/directdoc.asp?DDFDocuments/u/G/SPS/NOMN55.DOC")</f>
        <v>https://docs.wto.org/imrd/directdoc.asp?DDFDocuments/u/G/SPS/NOMN55.DOC</v>
      </c>
      <c r="M967" s="2" t="str">
        <f>HYPERLINK("https://docs.wto.org/imrd/directdoc.asp?DDFDocuments/v/G/SPS/NOMN55.DOC")</f>
        <v>https://docs.wto.org/imrd/directdoc.asp?DDFDocuments/v/G/SPS/NOMN55.DOC</v>
      </c>
      <c r="N967" s="2" t="str">
        <f>HYPERLINK("http://www.epingalert.org/#/details/G/SPS/N/OMN/55")</f>
        <v>http://www.epingalert.org/#/details/G/SPS/N/OMN/55</v>
      </c>
      <c r="O967" s="2"/>
    </row>
    <row r="968" spans="1:15" ht="240" customHeight="1" outlineLevel="1" x14ac:dyDescent="0.25">
      <c r="A968" s="2" t="s">
        <v>42</v>
      </c>
      <c r="B968" s="2" t="s">
        <v>4370</v>
      </c>
      <c r="C968" s="2" t="s">
        <v>4371</v>
      </c>
      <c r="D968" s="2" t="s">
        <v>4372</v>
      </c>
      <c r="E968" s="3">
        <v>42136</v>
      </c>
      <c r="F968" s="2" t="s">
        <v>4373</v>
      </c>
      <c r="G968" s="2"/>
      <c r="H968" s="2" t="s">
        <v>2425</v>
      </c>
      <c r="I968" s="2" t="s">
        <v>2453</v>
      </c>
      <c r="J968" s="3">
        <v>42161</v>
      </c>
      <c r="K968" s="2" t="str">
        <f>HYPERLINK("https://docs.wto.org/imrd/directdoc.asp?DDFDocuments/t/G/SPS/NBRA1038.DOC")</f>
        <v>https://docs.wto.org/imrd/directdoc.asp?DDFDocuments/t/G/SPS/NBRA1038.DOC</v>
      </c>
      <c r="L968" s="2" t="str">
        <f>HYPERLINK("https://docs.wto.org/imrd/directdoc.asp?DDFDocuments/u/G/SPS/NBRA1038.DOC")</f>
        <v>https://docs.wto.org/imrd/directdoc.asp?DDFDocuments/u/G/SPS/NBRA1038.DOC</v>
      </c>
      <c r="M968" s="2" t="str">
        <f>HYPERLINK("https://docs.wto.org/imrd/directdoc.asp?DDFDocuments/v/G/SPS/NBRA1038.DOC")</f>
        <v>https://docs.wto.org/imrd/directdoc.asp?DDFDocuments/v/G/SPS/NBRA1038.DOC</v>
      </c>
      <c r="N968" s="2" t="str">
        <f>HYPERLINK("http://www.epingalert.org/#/details/G/SPS/N/BRA/1038")</f>
        <v>http://www.epingalert.org/#/details/G/SPS/N/BRA/1038</v>
      </c>
      <c r="O968" s="2"/>
    </row>
    <row r="969" spans="1:15" ht="240" customHeight="1" outlineLevel="1" x14ac:dyDescent="0.25">
      <c r="A969" s="2" t="s">
        <v>42</v>
      </c>
      <c r="B969" s="2" t="s">
        <v>4374</v>
      </c>
      <c r="C969" s="2" t="s">
        <v>4375</v>
      </c>
      <c r="D969" s="2" t="s">
        <v>4376</v>
      </c>
      <c r="E969" s="3">
        <v>42136</v>
      </c>
      <c r="F969" s="2" t="s">
        <v>4377</v>
      </c>
      <c r="G969" s="2"/>
      <c r="H969" s="2" t="s">
        <v>2425</v>
      </c>
      <c r="I969" s="2" t="s">
        <v>2453</v>
      </c>
      <c r="J969" s="3">
        <v>42161</v>
      </c>
      <c r="K969" s="2" t="str">
        <f>HYPERLINK("https://docs.wto.org/imrd/directdoc.asp?DDFDocuments/t/G/SPS/NBRA1036.DOC")</f>
        <v>https://docs.wto.org/imrd/directdoc.asp?DDFDocuments/t/G/SPS/NBRA1036.DOC</v>
      </c>
      <c r="L969" s="2" t="str">
        <f>HYPERLINK("https://docs.wto.org/imrd/directdoc.asp?DDFDocuments/u/G/SPS/NBRA1036.DOC")</f>
        <v>https://docs.wto.org/imrd/directdoc.asp?DDFDocuments/u/G/SPS/NBRA1036.DOC</v>
      </c>
      <c r="M969" s="2" t="str">
        <f>HYPERLINK("https://docs.wto.org/imrd/directdoc.asp?DDFDocuments/v/G/SPS/NBRA1036.DOC")</f>
        <v>https://docs.wto.org/imrd/directdoc.asp?DDFDocuments/v/G/SPS/NBRA1036.DOC</v>
      </c>
      <c r="N969" s="2" t="str">
        <f>HYPERLINK("http://www.epingalert.org/#/details/G/SPS/N/BRA/1036")</f>
        <v>http://www.epingalert.org/#/details/G/SPS/N/BRA/1036</v>
      </c>
      <c r="O969" s="2"/>
    </row>
    <row r="970" spans="1:15" ht="240" customHeight="1" outlineLevel="1" x14ac:dyDescent="0.25">
      <c r="A970" s="2" t="s">
        <v>42</v>
      </c>
      <c r="B970" s="2" t="s">
        <v>4378</v>
      </c>
      <c r="C970" s="2" t="s">
        <v>4379</v>
      </c>
      <c r="D970" s="2" t="s">
        <v>4380</v>
      </c>
      <c r="E970" s="3">
        <v>42136</v>
      </c>
      <c r="F970" s="2" t="s">
        <v>4380</v>
      </c>
      <c r="G970" s="2"/>
      <c r="H970" s="2" t="s">
        <v>2425</v>
      </c>
      <c r="I970" s="2" t="s">
        <v>2453</v>
      </c>
      <c r="J970" s="3">
        <v>42161</v>
      </c>
      <c r="K970" s="2" t="str">
        <f>HYPERLINK("https://docs.wto.org/imrd/directdoc.asp?DDFDocuments/t/G/SPS/NBRA1033.DOC")</f>
        <v>https://docs.wto.org/imrd/directdoc.asp?DDFDocuments/t/G/SPS/NBRA1033.DOC</v>
      </c>
      <c r="L970" s="2" t="str">
        <f>HYPERLINK("https://docs.wto.org/imrd/directdoc.asp?DDFDocuments/u/G/SPS/NBRA1033.DOC")</f>
        <v>https://docs.wto.org/imrd/directdoc.asp?DDFDocuments/u/G/SPS/NBRA1033.DOC</v>
      </c>
      <c r="M970" s="2" t="str">
        <f>HYPERLINK("https://docs.wto.org/imrd/directdoc.asp?DDFDocuments/v/G/SPS/NBRA1033.DOC")</f>
        <v>https://docs.wto.org/imrd/directdoc.asp?DDFDocuments/v/G/SPS/NBRA1033.DOC</v>
      </c>
      <c r="N970" s="2" t="str">
        <f>HYPERLINK("http://www.epingalert.org/#/details/G/SPS/N/BRA/1033")</f>
        <v>http://www.epingalert.org/#/details/G/SPS/N/BRA/1033</v>
      </c>
      <c r="O970" s="2"/>
    </row>
    <row r="971" spans="1:15" ht="240" customHeight="1" outlineLevel="1" x14ac:dyDescent="0.25">
      <c r="A971" s="2" t="s">
        <v>42</v>
      </c>
      <c r="B971" s="2" t="s">
        <v>4381</v>
      </c>
      <c r="C971" s="2" t="s">
        <v>4382</v>
      </c>
      <c r="D971" s="2" t="s">
        <v>4383</v>
      </c>
      <c r="E971" s="3">
        <v>42136</v>
      </c>
      <c r="F971" s="2" t="s">
        <v>4383</v>
      </c>
      <c r="G971" s="2"/>
      <c r="H971" s="2" t="s">
        <v>2425</v>
      </c>
      <c r="I971" s="2" t="s">
        <v>2453</v>
      </c>
      <c r="J971" s="3">
        <v>42161</v>
      </c>
      <c r="K971" s="2" t="str">
        <f>HYPERLINK("https://docs.wto.org/imrd/directdoc.asp?DDFDocuments/t/G/SPS/NBRA1032.DOC")</f>
        <v>https://docs.wto.org/imrd/directdoc.asp?DDFDocuments/t/G/SPS/NBRA1032.DOC</v>
      </c>
      <c r="L971" s="2" t="str">
        <f>HYPERLINK("https://docs.wto.org/imrd/directdoc.asp?DDFDocuments/u/G/SPS/NBRA1032.DOC")</f>
        <v>https://docs.wto.org/imrd/directdoc.asp?DDFDocuments/u/G/SPS/NBRA1032.DOC</v>
      </c>
      <c r="M971" s="2" t="str">
        <f>HYPERLINK("https://docs.wto.org/imrd/directdoc.asp?DDFDocuments/v/G/SPS/NBRA1032.DOC")</f>
        <v>https://docs.wto.org/imrd/directdoc.asp?DDFDocuments/v/G/SPS/NBRA1032.DOC</v>
      </c>
      <c r="N971" s="2" t="str">
        <f>HYPERLINK("http://www.epingalert.org/#/details/G/SPS/N/BRA/1032")</f>
        <v>http://www.epingalert.org/#/details/G/SPS/N/BRA/1032</v>
      </c>
      <c r="O971" s="2"/>
    </row>
    <row r="972" spans="1:15" ht="240" customHeight="1" outlineLevel="1" x14ac:dyDescent="0.25">
      <c r="A972" s="2" t="s">
        <v>42</v>
      </c>
      <c r="B972" s="2" t="s">
        <v>4384</v>
      </c>
      <c r="C972" s="2" t="s">
        <v>4385</v>
      </c>
      <c r="D972" s="2" t="s">
        <v>4386</v>
      </c>
      <c r="E972" s="3">
        <v>42136</v>
      </c>
      <c r="F972" s="2" t="s">
        <v>4387</v>
      </c>
      <c r="G972" s="2"/>
      <c r="H972" s="2" t="s">
        <v>2425</v>
      </c>
      <c r="I972" s="2" t="s">
        <v>2453</v>
      </c>
      <c r="J972" s="3">
        <v>42161</v>
      </c>
      <c r="K972" s="2" t="str">
        <f>HYPERLINK("https://docs.wto.org/imrd/directdoc.asp?DDFDocuments/t/G/SPS/NBRA1031.DOC")</f>
        <v>https://docs.wto.org/imrd/directdoc.asp?DDFDocuments/t/G/SPS/NBRA1031.DOC</v>
      </c>
      <c r="L972" s="2" t="str">
        <f>HYPERLINK("https://docs.wto.org/imrd/directdoc.asp?DDFDocuments/u/G/SPS/NBRA1031.DOC")</f>
        <v>https://docs.wto.org/imrd/directdoc.asp?DDFDocuments/u/G/SPS/NBRA1031.DOC</v>
      </c>
      <c r="M972" s="2" t="str">
        <f>HYPERLINK("https://docs.wto.org/imrd/directdoc.asp?DDFDocuments/v/G/SPS/NBRA1031.DOC")</f>
        <v>https://docs.wto.org/imrd/directdoc.asp?DDFDocuments/v/G/SPS/NBRA1031.DOC</v>
      </c>
      <c r="N972" s="2" t="str">
        <f>HYPERLINK("http://www.epingalert.org/#/details/G/SPS/N/BRA/1031")</f>
        <v>http://www.epingalert.org/#/details/G/SPS/N/BRA/1031</v>
      </c>
      <c r="O972" s="2"/>
    </row>
    <row r="973" spans="1:15" ht="240" customHeight="1" outlineLevel="1" x14ac:dyDescent="0.25">
      <c r="A973" s="2" t="s">
        <v>128</v>
      </c>
      <c r="B973" s="2" t="s">
        <v>7718</v>
      </c>
      <c r="C973" s="2"/>
      <c r="D973" s="2"/>
      <c r="E973" s="3">
        <v>42136</v>
      </c>
      <c r="F973" s="2" t="s">
        <v>7710</v>
      </c>
      <c r="G973" s="2" t="s">
        <v>7711</v>
      </c>
      <c r="H973" s="2" t="s">
        <v>6741</v>
      </c>
      <c r="I973" s="2" t="s">
        <v>2491</v>
      </c>
      <c r="J973" s="2"/>
      <c r="K973" s="2" t="str">
        <f>HYPERLINK("https://docs.wto.org/imrd/directdoc.asp?DDFDocuments/t/G/SPS/NPER491A1.DOC")</f>
        <v>https://docs.wto.org/imrd/directdoc.asp?DDFDocuments/t/G/SPS/NPER491A1.DOC</v>
      </c>
      <c r="L973" s="2" t="str">
        <f>HYPERLINK("https://docs.wto.org/imrd/directdoc.asp?DDFDocuments/u/G/SPS/NPER491A1.DOC")</f>
        <v>https://docs.wto.org/imrd/directdoc.asp?DDFDocuments/u/G/SPS/NPER491A1.DOC</v>
      </c>
      <c r="M973" s="2" t="str">
        <f>HYPERLINK("https://docs.wto.org/imrd/directdoc.asp?DDFDocuments/v/G/SPS/NPER491A1.DOC")</f>
        <v>https://docs.wto.org/imrd/directdoc.asp?DDFDocuments/v/G/SPS/NPER491A1.DOC</v>
      </c>
      <c r="N973" s="2" t="str">
        <f>HYPERLINK("http://www.epingalert.org/#/details/G/SPS/N/PER/491/Add.1")</f>
        <v>http://www.epingalert.org/#/details/G/SPS/N/PER/491/Add.1</v>
      </c>
      <c r="O973" s="2"/>
    </row>
    <row r="974" spans="1:15" ht="240" customHeight="1" outlineLevel="1" x14ac:dyDescent="0.25">
      <c r="A974" s="2" t="s">
        <v>42</v>
      </c>
      <c r="B974" s="2" t="s">
        <v>7719</v>
      </c>
      <c r="C974" s="2" t="s">
        <v>7720</v>
      </c>
      <c r="D974" s="2" t="s">
        <v>7721</v>
      </c>
      <c r="E974" s="3">
        <v>42136</v>
      </c>
      <c r="F974" s="2" t="s">
        <v>7722</v>
      </c>
      <c r="G974" s="2" t="s">
        <v>7723</v>
      </c>
      <c r="H974" s="2" t="s">
        <v>7356</v>
      </c>
      <c r="I974" s="2" t="s">
        <v>6869</v>
      </c>
      <c r="J974" s="2"/>
      <c r="K974" s="2" t="str">
        <f>HYPERLINK("https://docs.wto.org/imrd/directdoc.asp?DDFDocuments/t/G/SPS/NBRA399R1.DOC")</f>
        <v>https://docs.wto.org/imrd/directdoc.asp?DDFDocuments/t/G/SPS/NBRA399R1.DOC</v>
      </c>
      <c r="L974" s="2" t="str">
        <f>HYPERLINK("https://docs.wto.org/imrd/directdoc.asp?DDFDocuments/u/G/SPS/NBRA399R1.DOC")</f>
        <v>https://docs.wto.org/imrd/directdoc.asp?DDFDocuments/u/G/SPS/NBRA399R1.DOC</v>
      </c>
      <c r="M974" s="2" t="str">
        <f>HYPERLINK("https://docs.wto.org/imrd/directdoc.asp?DDFDocuments/v/G/SPS/NBRA399R1.DOC")</f>
        <v>https://docs.wto.org/imrd/directdoc.asp?DDFDocuments/v/G/SPS/NBRA399R1.DOC</v>
      </c>
      <c r="N974" s="2" t="str">
        <f>HYPERLINK("http://www.epingalert.org/#/details/G/SPS/N/BRA/399/Rev.1")</f>
        <v>http://www.epingalert.org/#/details/G/SPS/N/BRA/399/Rev.1</v>
      </c>
      <c r="O974" s="2"/>
    </row>
    <row r="975" spans="1:15" ht="240" customHeight="1" outlineLevel="1" x14ac:dyDescent="0.25">
      <c r="A975" s="2" t="s">
        <v>1488</v>
      </c>
      <c r="B975" s="2" t="s">
        <v>7724</v>
      </c>
      <c r="C975" s="2"/>
      <c r="D975" s="2"/>
      <c r="E975" s="3">
        <v>42135</v>
      </c>
      <c r="F975" s="2" t="s">
        <v>7725</v>
      </c>
      <c r="G975" s="2" t="s">
        <v>7726</v>
      </c>
      <c r="H975" s="2" t="s">
        <v>7727</v>
      </c>
      <c r="I975" s="2" t="s">
        <v>2784</v>
      </c>
      <c r="J975" s="2"/>
      <c r="K975" s="2" t="str">
        <f>HYPERLINK("https://docs.wto.org/imrd/directdoc.asp?DDFDocuments/t/G/SPS/NMEX230A2.DOC")</f>
        <v>https://docs.wto.org/imrd/directdoc.asp?DDFDocuments/t/G/SPS/NMEX230A2.DOC</v>
      </c>
      <c r="L975" s="2" t="str">
        <f>HYPERLINK("https://docs.wto.org/imrd/directdoc.asp?DDFDocuments/u/G/SPS/NMEX230A2.DOC")</f>
        <v>https://docs.wto.org/imrd/directdoc.asp?DDFDocuments/u/G/SPS/NMEX230A2.DOC</v>
      </c>
      <c r="M975" s="2" t="str">
        <f>HYPERLINK("https://docs.wto.org/imrd/directdoc.asp?DDFDocuments/v/G/SPS/NMEX230A2.DOC")</f>
        <v>https://docs.wto.org/imrd/directdoc.asp?DDFDocuments/v/G/SPS/NMEX230A2.DOC</v>
      </c>
      <c r="N975" s="2" t="str">
        <f>HYPERLINK("http://www.epingalert.org/#/details/G/SPS/N/MEX/230/Add.2")</f>
        <v>http://www.epingalert.org/#/details/G/SPS/N/MEX/230/Add.2</v>
      </c>
      <c r="O975" s="2"/>
    </row>
    <row r="976" spans="1:15" ht="240" customHeight="1" outlineLevel="1" x14ac:dyDescent="0.25">
      <c r="A976" s="2" t="s">
        <v>128</v>
      </c>
      <c r="B976" s="2" t="s">
        <v>7728</v>
      </c>
      <c r="C976" s="2"/>
      <c r="D976" s="2"/>
      <c r="E976" s="3">
        <v>42135</v>
      </c>
      <c r="F976" s="2"/>
      <c r="G976" s="2" t="s">
        <v>7729</v>
      </c>
      <c r="H976" s="2" t="s">
        <v>6741</v>
      </c>
      <c r="I976" s="2" t="s">
        <v>6742</v>
      </c>
      <c r="J976" s="2"/>
      <c r="K976" s="2" t="str">
        <f>HYPERLINK("https://docs.wto.org/imrd/directdoc.asp?DDFDocuments/t/G/SPS/NPER605.DOC")</f>
        <v>https://docs.wto.org/imrd/directdoc.asp?DDFDocuments/t/G/SPS/NPER605.DOC</v>
      </c>
      <c r="L976" s="2" t="str">
        <f>HYPERLINK("https://docs.wto.org/imrd/directdoc.asp?DDFDocuments/u/G/SPS/NPER605.DOC")</f>
        <v>https://docs.wto.org/imrd/directdoc.asp?DDFDocuments/u/G/SPS/NPER605.DOC</v>
      </c>
      <c r="M976" s="2" t="str">
        <f>HYPERLINK("https://docs.wto.org/imrd/directdoc.asp?DDFDocuments/v/G/SPS/NPER605.DOC")</f>
        <v>https://docs.wto.org/imrd/directdoc.asp?DDFDocuments/v/G/SPS/NPER605.DOC</v>
      </c>
      <c r="N976" s="2" t="str">
        <f>HYPERLINK("http://www.epingalert.org/#/details/G/SPS/N/PER/605")</f>
        <v>http://www.epingalert.org/#/details/G/SPS/N/PER/605</v>
      </c>
      <c r="O976" s="2"/>
    </row>
    <row r="977" spans="1:15" ht="240" customHeight="1" outlineLevel="1" x14ac:dyDescent="0.25">
      <c r="A977" s="2" t="s">
        <v>128</v>
      </c>
      <c r="B977" s="2" t="s">
        <v>7730</v>
      </c>
      <c r="C977" s="2"/>
      <c r="D977" s="2"/>
      <c r="E977" s="3">
        <v>42135</v>
      </c>
      <c r="F977" s="2"/>
      <c r="G977" s="2" t="s">
        <v>7731</v>
      </c>
      <c r="H977" s="2" t="s">
        <v>6741</v>
      </c>
      <c r="I977" s="2" t="s">
        <v>6887</v>
      </c>
      <c r="J977" s="2"/>
      <c r="K977" s="2" t="str">
        <f>HYPERLINK("https://docs.wto.org/imrd/directdoc.asp?DDFDocuments/t/G/SPS/NPER604.DOC")</f>
        <v>https://docs.wto.org/imrd/directdoc.asp?DDFDocuments/t/G/SPS/NPER604.DOC</v>
      </c>
      <c r="L977" s="2" t="str">
        <f>HYPERLINK("https://docs.wto.org/imrd/directdoc.asp?DDFDocuments/u/G/SPS/NPER604.DOC")</f>
        <v>https://docs.wto.org/imrd/directdoc.asp?DDFDocuments/u/G/SPS/NPER604.DOC</v>
      </c>
      <c r="M977" s="2" t="str">
        <f>HYPERLINK("https://docs.wto.org/imrd/directdoc.asp?DDFDocuments/v/G/SPS/NPER604.DOC")</f>
        <v>https://docs.wto.org/imrd/directdoc.asp?DDFDocuments/v/G/SPS/NPER604.DOC</v>
      </c>
      <c r="N977" s="2" t="str">
        <f>HYPERLINK("http://www.epingalert.org/#/details/G/SPS/N/PER/604")</f>
        <v>http://www.epingalert.org/#/details/G/SPS/N/PER/604</v>
      </c>
      <c r="O977" s="2"/>
    </row>
    <row r="978" spans="1:15" ht="240" customHeight="1" outlineLevel="1" x14ac:dyDescent="0.25">
      <c r="A978" s="2" t="s">
        <v>178</v>
      </c>
      <c r="B978" s="2" t="s">
        <v>7732</v>
      </c>
      <c r="C978" s="2" t="s">
        <v>7733</v>
      </c>
      <c r="D978" s="2" t="s">
        <v>7734</v>
      </c>
      <c r="E978" s="3">
        <v>42129</v>
      </c>
      <c r="F978" s="2" t="s">
        <v>7708</v>
      </c>
      <c r="G978" s="2" t="s">
        <v>2381</v>
      </c>
      <c r="H978" s="2" t="s">
        <v>2425</v>
      </c>
      <c r="I978" s="2" t="s">
        <v>2461</v>
      </c>
      <c r="J978" s="3">
        <v>42189</v>
      </c>
      <c r="K978" s="2" t="str">
        <f>HYPERLINK("https://docs.wto.org/imrd/directdoc.asp?DDFDocuments/t/G/SPS/NQAT55.DOC")</f>
        <v>https://docs.wto.org/imrd/directdoc.asp?DDFDocuments/t/G/SPS/NQAT55.DOC</v>
      </c>
      <c r="L978" s="2" t="str">
        <f>HYPERLINK("https://docs.wto.org/imrd/directdoc.asp?DDFDocuments/u/G/SPS/NQAT55.DOC")</f>
        <v>https://docs.wto.org/imrd/directdoc.asp?DDFDocuments/u/G/SPS/NQAT55.DOC</v>
      </c>
      <c r="M978" s="2" t="str">
        <f>HYPERLINK("https://docs.wto.org/imrd/directdoc.asp?DDFDocuments/v/G/SPS/NQAT55.DOC")</f>
        <v>https://docs.wto.org/imrd/directdoc.asp?DDFDocuments/v/G/SPS/NQAT55.DOC</v>
      </c>
      <c r="N978" s="2" t="str">
        <f>HYPERLINK("http://www.epingalert.org/#/details/G/SPS/N/QAT/55")</f>
        <v>http://www.epingalert.org/#/details/G/SPS/N/QAT/55</v>
      </c>
      <c r="O978" s="2"/>
    </row>
    <row r="979" spans="1:15" ht="240" customHeight="1" outlineLevel="1" x14ac:dyDescent="0.25">
      <c r="A979" s="2" t="s">
        <v>18</v>
      </c>
      <c r="B979" s="2" t="s">
        <v>7735</v>
      </c>
      <c r="C979" s="2" t="s">
        <v>7736</v>
      </c>
      <c r="D979" s="2" t="s">
        <v>7737</v>
      </c>
      <c r="E979" s="3">
        <v>42125</v>
      </c>
      <c r="F979" s="2" t="s">
        <v>7351</v>
      </c>
      <c r="G979" s="2" t="s">
        <v>7352</v>
      </c>
      <c r="H979" s="2" t="s">
        <v>6741</v>
      </c>
      <c r="I979" s="2" t="s">
        <v>6887</v>
      </c>
      <c r="J979" s="3">
        <v>42184</v>
      </c>
      <c r="K979" s="2" t="str">
        <f>HYPERLINK("https://docs.wto.org/imrd/directdoc.asp?DDFDocuments/t/G/SPS/NUSA2759.DOC")</f>
        <v>https://docs.wto.org/imrd/directdoc.asp?DDFDocuments/t/G/SPS/NUSA2759.DOC</v>
      </c>
      <c r="L979" s="2" t="str">
        <f>HYPERLINK("https://docs.wto.org/imrd/directdoc.asp?DDFDocuments/u/G/SPS/NUSA2759.DOC")</f>
        <v>https://docs.wto.org/imrd/directdoc.asp?DDFDocuments/u/G/SPS/NUSA2759.DOC</v>
      </c>
      <c r="M979" s="2" t="str">
        <f>HYPERLINK("https://docs.wto.org/imrd/directdoc.asp?DDFDocuments/v/G/SPS/NUSA2759.DOC")</f>
        <v>https://docs.wto.org/imrd/directdoc.asp?DDFDocuments/v/G/SPS/NUSA2759.DOC</v>
      </c>
      <c r="N979" s="2" t="str">
        <f>HYPERLINK("http://www.epingalert.org/#/details/G/SPS/N/USA/2759")</f>
        <v>http://www.epingalert.org/#/details/G/SPS/N/USA/2759</v>
      </c>
      <c r="O979" s="2"/>
    </row>
    <row r="980" spans="1:15" ht="240" customHeight="1" outlineLevel="1" x14ac:dyDescent="0.25">
      <c r="A980" s="2" t="s">
        <v>178</v>
      </c>
      <c r="B980" s="2" t="s">
        <v>4388</v>
      </c>
      <c r="C980" s="2" t="s">
        <v>4389</v>
      </c>
      <c r="D980" s="2" t="s">
        <v>4390</v>
      </c>
      <c r="E980" s="3">
        <v>42124</v>
      </c>
      <c r="F980" s="2" t="s">
        <v>720</v>
      </c>
      <c r="G980" s="2"/>
      <c r="H980" s="2" t="s">
        <v>2425</v>
      </c>
      <c r="I980" s="2" t="s">
        <v>2535</v>
      </c>
      <c r="J980" s="3">
        <v>42184</v>
      </c>
      <c r="K980" s="2" t="str">
        <f>HYPERLINK("https://docs.wto.org/imrd/directdoc.asp?DDFDocuments/t/G/SPS/NQAT54.DOC")</f>
        <v>https://docs.wto.org/imrd/directdoc.asp?DDFDocuments/t/G/SPS/NQAT54.DOC</v>
      </c>
      <c r="L980" s="2" t="str">
        <f>HYPERLINK("https://docs.wto.org/imrd/directdoc.asp?DDFDocuments/u/G/SPS/NQAT54.DOC")</f>
        <v>https://docs.wto.org/imrd/directdoc.asp?DDFDocuments/u/G/SPS/NQAT54.DOC</v>
      </c>
      <c r="M980" s="2" t="str">
        <f>HYPERLINK("https://docs.wto.org/imrd/directdoc.asp?DDFDocuments/v/G/SPS/NQAT54.DOC")</f>
        <v>https://docs.wto.org/imrd/directdoc.asp?DDFDocuments/v/G/SPS/NQAT54.DOC</v>
      </c>
      <c r="N980" s="2" t="str">
        <f>HYPERLINK("http://www.epingalert.org/#/details/G/SPS/N/QAT/54")</f>
        <v>http://www.epingalert.org/#/details/G/SPS/N/QAT/54</v>
      </c>
      <c r="O980" s="2"/>
    </row>
    <row r="981" spans="1:15" ht="240" customHeight="1" outlineLevel="1" x14ac:dyDescent="0.25">
      <c r="A981" s="2" t="s">
        <v>380</v>
      </c>
      <c r="B981" s="2" t="s">
        <v>4391</v>
      </c>
      <c r="C981" s="2" t="s">
        <v>2525</v>
      </c>
      <c r="D981" s="2" t="s">
        <v>4392</v>
      </c>
      <c r="E981" s="3">
        <v>42124</v>
      </c>
      <c r="F981" s="2" t="s">
        <v>46</v>
      </c>
      <c r="G981" s="2"/>
      <c r="H981" s="2" t="s">
        <v>2425</v>
      </c>
      <c r="I981" s="2" t="s">
        <v>2453</v>
      </c>
      <c r="J981" s="3">
        <v>42184</v>
      </c>
      <c r="K981" s="2" t="str">
        <f>HYPERLINK("https://docs.wto.org/imrd/directdoc.asp?DDFDocuments/t/G/SPS/NCHN875.DOC")</f>
        <v>https://docs.wto.org/imrd/directdoc.asp?DDFDocuments/t/G/SPS/NCHN875.DOC</v>
      </c>
      <c r="L981" s="2" t="str">
        <f>HYPERLINK("https://docs.wto.org/imrd/directdoc.asp?DDFDocuments/u/G/SPS/NCHN875.DOC")</f>
        <v>https://docs.wto.org/imrd/directdoc.asp?DDFDocuments/u/G/SPS/NCHN875.DOC</v>
      </c>
      <c r="M981" s="2" t="str">
        <f>HYPERLINK("https://docs.wto.org/imrd/directdoc.asp?DDFDocuments/v/G/SPS/NCHN875.DOC")</f>
        <v>https://docs.wto.org/imrd/directdoc.asp?DDFDocuments/v/G/SPS/NCHN875.DOC</v>
      </c>
      <c r="N981" s="2" t="str">
        <f>HYPERLINK("http://www.epingalert.org/#/details/G/SPS/N/CHN/875")</f>
        <v>http://www.epingalert.org/#/details/G/SPS/N/CHN/875</v>
      </c>
      <c r="O981" s="2"/>
    </row>
    <row r="982" spans="1:15" ht="240" customHeight="1" outlineLevel="1" x14ac:dyDescent="0.25">
      <c r="A982" s="2" t="s">
        <v>12</v>
      </c>
      <c r="B982" s="2" t="s">
        <v>4393</v>
      </c>
      <c r="C982" s="2" t="s">
        <v>4394</v>
      </c>
      <c r="D982" s="2" t="s">
        <v>4395</v>
      </c>
      <c r="E982" s="3">
        <v>42123</v>
      </c>
      <c r="F982" s="2" t="s">
        <v>4396</v>
      </c>
      <c r="G982" s="2" t="s">
        <v>2607</v>
      </c>
      <c r="H982" s="2" t="s">
        <v>2425</v>
      </c>
      <c r="I982" s="2"/>
      <c r="J982" s="3">
        <v>42183</v>
      </c>
      <c r="K982" s="2" t="str">
        <f>HYPERLINK("https://docs.wto.org/imrd/directdoc.asp?DDFDocuments/t/G/SPS/NEU127.DOC")</f>
        <v>https://docs.wto.org/imrd/directdoc.asp?DDFDocuments/t/G/SPS/NEU127.DOC</v>
      </c>
      <c r="L982" s="2" t="str">
        <f>HYPERLINK("https://docs.wto.org/imrd/directdoc.asp?DDFDocuments/u/G/SPS/NEU127.DOC")</f>
        <v>https://docs.wto.org/imrd/directdoc.asp?DDFDocuments/u/G/SPS/NEU127.DOC</v>
      </c>
      <c r="M982" s="2" t="str">
        <f>HYPERLINK("https://docs.wto.org/imrd/directdoc.asp?DDFDocuments/v/G/SPS/NEU127.DOC")</f>
        <v>https://docs.wto.org/imrd/directdoc.asp?DDFDocuments/v/G/SPS/NEU127.DOC</v>
      </c>
      <c r="N982" s="2" t="str">
        <f>HYPERLINK("http://www.epingalert.org/#/details/G/SPS/N/EU/127")</f>
        <v>http://www.epingalert.org/#/details/G/SPS/N/EU/127</v>
      </c>
      <c r="O982" s="2"/>
    </row>
    <row r="983" spans="1:15" ht="240" customHeight="1" outlineLevel="1" x14ac:dyDescent="0.25">
      <c r="A983" s="2" t="s">
        <v>1042</v>
      </c>
      <c r="B983" s="2" t="s">
        <v>7740</v>
      </c>
      <c r="C983" s="2" t="s">
        <v>7741</v>
      </c>
      <c r="D983" s="2" t="s">
        <v>7742</v>
      </c>
      <c r="E983" s="3">
        <v>42121</v>
      </c>
      <c r="F983" s="2" t="s">
        <v>7743</v>
      </c>
      <c r="G983" s="2" t="s">
        <v>7744</v>
      </c>
      <c r="H983" s="2" t="s">
        <v>2425</v>
      </c>
      <c r="I983" s="2" t="s">
        <v>2535</v>
      </c>
      <c r="J983" s="3">
        <v>42184</v>
      </c>
      <c r="K983" s="2" t="str">
        <f>HYPERLINK("https://docs.wto.org/imrd/directdoc.asp?DDFDocuments/t/G/SPS/NPHL283.DOC")</f>
        <v>https://docs.wto.org/imrd/directdoc.asp?DDFDocuments/t/G/SPS/NPHL283.DOC</v>
      </c>
      <c r="L983" s="2" t="str">
        <f>HYPERLINK("https://docs.wto.org/imrd/directdoc.asp?DDFDocuments/u/G/SPS/NPHL283.DOC")</f>
        <v>https://docs.wto.org/imrd/directdoc.asp?DDFDocuments/u/G/SPS/NPHL283.DOC</v>
      </c>
      <c r="M983" s="2" t="str">
        <f>HYPERLINK("https://docs.wto.org/imrd/directdoc.asp?DDFDocuments/v/G/SPS/NPHL283.DOC")</f>
        <v>https://docs.wto.org/imrd/directdoc.asp?DDFDocuments/v/G/SPS/NPHL283.DOC</v>
      </c>
      <c r="N983" s="2" t="str">
        <f>HYPERLINK("http://www.epingalert.org/#/details/G/SPS/N/PHL/283")</f>
        <v>http://www.epingalert.org/#/details/G/SPS/N/PHL/283</v>
      </c>
      <c r="O983" s="2"/>
    </row>
    <row r="984" spans="1:15" ht="240" customHeight="1" outlineLevel="1" x14ac:dyDescent="0.25">
      <c r="A984" s="2" t="s">
        <v>77</v>
      </c>
      <c r="B984" s="2" t="s">
        <v>4399</v>
      </c>
      <c r="C984" s="2" t="s">
        <v>2433</v>
      </c>
      <c r="D984" s="2" t="s">
        <v>4400</v>
      </c>
      <c r="E984" s="3">
        <v>42121</v>
      </c>
      <c r="F984" s="2" t="s">
        <v>2809</v>
      </c>
      <c r="G984" s="2"/>
      <c r="H984" s="2" t="s">
        <v>2425</v>
      </c>
      <c r="I984" s="2" t="s">
        <v>2426</v>
      </c>
      <c r="J984" s="3">
        <v>42181</v>
      </c>
      <c r="K984" s="2" t="str">
        <f>HYPERLINK("https://docs.wto.org/imrd/directdoc.asp?DDFDocuments/t/G/SPS/NTPKM353.DOC")</f>
        <v>https://docs.wto.org/imrd/directdoc.asp?DDFDocuments/t/G/SPS/NTPKM353.DOC</v>
      </c>
      <c r="L984" s="2" t="str">
        <f>HYPERLINK("https://docs.wto.org/imrd/directdoc.asp?DDFDocuments/u/G/SPS/NTPKM353.DOC")</f>
        <v>https://docs.wto.org/imrd/directdoc.asp?DDFDocuments/u/G/SPS/NTPKM353.DOC</v>
      </c>
      <c r="M984" s="2" t="str">
        <f>HYPERLINK("https://docs.wto.org/imrd/directdoc.asp?DDFDocuments/v/G/SPS/NTPKM353.DOC")</f>
        <v>https://docs.wto.org/imrd/directdoc.asp?DDFDocuments/v/G/SPS/NTPKM353.DOC</v>
      </c>
      <c r="N984" s="2" t="str">
        <f>HYPERLINK("http://www.epingalert.org/#/details/G/SPS/N/TPKM/353")</f>
        <v>http://www.epingalert.org/#/details/G/SPS/N/TPKM/353</v>
      </c>
      <c r="O984" s="2"/>
    </row>
    <row r="985" spans="1:15" ht="240" customHeight="1" outlineLevel="1" x14ac:dyDescent="0.25">
      <c r="A985" s="2" t="s">
        <v>77</v>
      </c>
      <c r="B985" s="2" t="s">
        <v>4397</v>
      </c>
      <c r="C985" s="2"/>
      <c r="D985" s="2"/>
      <c r="E985" s="3">
        <v>42121</v>
      </c>
      <c r="F985" s="2" t="s">
        <v>2612</v>
      </c>
      <c r="G985" s="2" t="s">
        <v>4398</v>
      </c>
      <c r="H985" s="2" t="s">
        <v>2425</v>
      </c>
      <c r="I985" s="2" t="s">
        <v>2444</v>
      </c>
      <c r="J985" s="2"/>
      <c r="K985" s="2" t="str">
        <f>HYPERLINK("https://docs.wto.org/imrd/directdoc.asp?DDFDocuments/t/G/SPS/NTPKM314R1A1.DOC")</f>
        <v>https://docs.wto.org/imrd/directdoc.asp?DDFDocuments/t/G/SPS/NTPKM314R1A1.DOC</v>
      </c>
      <c r="L985" s="2" t="str">
        <f>HYPERLINK("https://docs.wto.org/imrd/directdoc.asp?DDFDocuments/u/G/SPS/NTPKM314R1A1.DOC")</f>
        <v>https://docs.wto.org/imrd/directdoc.asp?DDFDocuments/u/G/SPS/NTPKM314R1A1.DOC</v>
      </c>
      <c r="M985" s="2" t="str">
        <f>HYPERLINK("https://docs.wto.org/imrd/directdoc.asp?DDFDocuments/v/G/SPS/NTPKM314R1A1.DOC")</f>
        <v>https://docs.wto.org/imrd/directdoc.asp?DDFDocuments/v/G/SPS/NTPKM314R1A1.DOC</v>
      </c>
      <c r="N985" s="2" t="str">
        <f>HYPERLINK("http://www.epingalert.org/#/details/G/SPS/N/TPKM/314/Rev.1/Add.1")</f>
        <v>http://www.epingalert.org/#/details/G/SPS/N/TPKM/314/Rev.1/Add.1</v>
      </c>
      <c r="O985" s="2"/>
    </row>
    <row r="986" spans="1:15" ht="240" customHeight="1" outlineLevel="1" x14ac:dyDescent="0.25">
      <c r="A986" s="2" t="s">
        <v>18</v>
      </c>
      <c r="B986" s="2" t="s">
        <v>7738</v>
      </c>
      <c r="C986" s="2"/>
      <c r="D986" s="2"/>
      <c r="E986" s="3">
        <v>42121</v>
      </c>
      <c r="F986" s="2" t="s">
        <v>7739</v>
      </c>
      <c r="G986" s="2" t="s">
        <v>2923</v>
      </c>
      <c r="H986" s="2" t="s">
        <v>7356</v>
      </c>
      <c r="I986" s="2" t="s">
        <v>2444</v>
      </c>
      <c r="J986" s="2"/>
      <c r="K986" s="2" t="str">
        <f>HYPERLINK("https://docs.wto.org/imrd/directdoc.asp?DDFDocuments/t/G/SPS/NUSA2243A1.DOC")</f>
        <v>https://docs.wto.org/imrd/directdoc.asp?DDFDocuments/t/G/SPS/NUSA2243A1.DOC</v>
      </c>
      <c r="L986" s="2" t="str">
        <f>HYPERLINK("https://docs.wto.org/imrd/directdoc.asp?DDFDocuments/u/G/SPS/NUSA2243A1.DOC")</f>
        <v>https://docs.wto.org/imrd/directdoc.asp?DDFDocuments/u/G/SPS/NUSA2243A1.DOC</v>
      </c>
      <c r="M986" s="2" t="str">
        <f>HYPERLINK("https://docs.wto.org/imrd/directdoc.asp?DDFDocuments/v/G/SPS/NUSA2243A1.DOC")</f>
        <v>https://docs.wto.org/imrd/directdoc.asp?DDFDocuments/v/G/SPS/NUSA2243A1.DOC</v>
      </c>
      <c r="N986" s="2" t="str">
        <f>HYPERLINK("http://www.epingalert.org/#/details/G/SPS/N/USA/2243/Add.1")</f>
        <v>http://www.epingalert.org/#/details/G/SPS/N/USA/2243/Add.1</v>
      </c>
      <c r="O986" s="2"/>
    </row>
    <row r="987" spans="1:15" ht="240" customHeight="1" outlineLevel="1" x14ac:dyDescent="0.25">
      <c r="A987" s="2" t="s">
        <v>1042</v>
      </c>
      <c r="B987" s="2" t="s">
        <v>7745</v>
      </c>
      <c r="C987" s="2" t="s">
        <v>7746</v>
      </c>
      <c r="D987" s="2" t="s">
        <v>7747</v>
      </c>
      <c r="E987" s="3">
        <v>42118</v>
      </c>
      <c r="F987" s="2" t="s">
        <v>7748</v>
      </c>
      <c r="G987" s="2" t="s">
        <v>7749</v>
      </c>
      <c r="H987" s="2" t="s">
        <v>2425</v>
      </c>
      <c r="I987" s="2" t="s">
        <v>2548</v>
      </c>
      <c r="J987" s="3">
        <v>42181</v>
      </c>
      <c r="K987" s="2" t="str">
        <f>HYPERLINK("https://docs.wto.org/imrd/directdoc.asp?DDFDocuments/t/G/SPS/NPHL282.DOC")</f>
        <v>https://docs.wto.org/imrd/directdoc.asp?DDFDocuments/t/G/SPS/NPHL282.DOC</v>
      </c>
      <c r="L987" s="2" t="str">
        <f>HYPERLINK("https://docs.wto.org/imrd/directdoc.asp?DDFDocuments/u/G/SPS/NPHL282.DOC")</f>
        <v>https://docs.wto.org/imrd/directdoc.asp?DDFDocuments/u/G/SPS/NPHL282.DOC</v>
      </c>
      <c r="M987" s="2" t="str">
        <f>HYPERLINK("https://docs.wto.org/imrd/directdoc.asp?DDFDocuments/v/G/SPS/NPHL282.DOC")</f>
        <v>https://docs.wto.org/imrd/directdoc.asp?DDFDocuments/v/G/SPS/NPHL282.DOC</v>
      </c>
      <c r="N987" s="2" t="str">
        <f>HYPERLINK("http://www.epingalert.org/#/details/G/SPS/N/PHL/282")</f>
        <v>http://www.epingalert.org/#/details/G/SPS/N/PHL/282</v>
      </c>
      <c r="O987" s="2"/>
    </row>
    <row r="988" spans="1:15" ht="240" customHeight="1" outlineLevel="1" x14ac:dyDescent="0.25">
      <c r="A988" s="2" t="s">
        <v>225</v>
      </c>
      <c r="B988" s="2" t="s">
        <v>4401</v>
      </c>
      <c r="C988" s="2" t="s">
        <v>4402</v>
      </c>
      <c r="D988" s="2" t="s">
        <v>2494</v>
      </c>
      <c r="E988" s="3">
        <v>42117</v>
      </c>
      <c r="F988" s="2" t="s">
        <v>2430</v>
      </c>
      <c r="G988" s="2"/>
      <c r="H988" s="2" t="s">
        <v>2425</v>
      </c>
      <c r="I988" s="2" t="s">
        <v>2431</v>
      </c>
      <c r="J988" s="3">
        <v>42180</v>
      </c>
      <c r="K988" s="2" t="str">
        <f>HYPERLINK("https://docs.wto.org/imrd/directdoc.asp?DDFDocuments/t/G/SPS/NAUS357.DOC")</f>
        <v>https://docs.wto.org/imrd/directdoc.asp?DDFDocuments/t/G/SPS/NAUS357.DOC</v>
      </c>
      <c r="L988" s="2" t="str">
        <f>HYPERLINK("https://docs.wto.org/imrd/directdoc.asp?DDFDocuments/u/G/SPS/NAUS357.DOC")</f>
        <v>https://docs.wto.org/imrd/directdoc.asp?DDFDocuments/u/G/SPS/NAUS357.DOC</v>
      </c>
      <c r="M988" s="2" t="str">
        <f>HYPERLINK("https://docs.wto.org/imrd/directdoc.asp?DDFDocuments/v/G/SPS/NAUS357.DOC")</f>
        <v>https://docs.wto.org/imrd/directdoc.asp?DDFDocuments/v/G/SPS/NAUS357.DOC</v>
      </c>
      <c r="N988" s="2" t="str">
        <f>HYPERLINK("http://www.epingalert.org/#/details/G/SPS/N/AUS/357")</f>
        <v>http://www.epingalert.org/#/details/G/SPS/N/AUS/357</v>
      </c>
      <c r="O988" s="2"/>
    </row>
    <row r="989" spans="1:15" ht="240" customHeight="1" outlineLevel="1" x14ac:dyDescent="0.25">
      <c r="A989" s="2" t="s">
        <v>121</v>
      </c>
      <c r="B989" s="2" t="s">
        <v>7750</v>
      </c>
      <c r="C989" s="2" t="s">
        <v>7751</v>
      </c>
      <c r="D989" s="2" t="s">
        <v>7752</v>
      </c>
      <c r="E989" s="3">
        <v>42117</v>
      </c>
      <c r="F989" s="2" t="s">
        <v>7753</v>
      </c>
      <c r="G989" s="2" t="s">
        <v>6736</v>
      </c>
      <c r="H989" s="2" t="s">
        <v>2425</v>
      </c>
      <c r="I989" s="2" t="s">
        <v>2461</v>
      </c>
      <c r="J989" s="3">
        <v>42177</v>
      </c>
      <c r="K989" s="2" t="str">
        <f>HYPERLINK("https://docs.wto.org/imrd/directdoc.asp?DDFDocuments/t/G/SPS/NIND103.DOC")</f>
        <v>https://docs.wto.org/imrd/directdoc.asp?DDFDocuments/t/G/SPS/NIND103.DOC</v>
      </c>
      <c r="L989" s="2" t="str">
        <f>HYPERLINK("https://docs.wto.org/imrd/directdoc.asp?DDFDocuments/u/G/SPS/NIND103.DOC")</f>
        <v>https://docs.wto.org/imrd/directdoc.asp?DDFDocuments/u/G/SPS/NIND103.DOC</v>
      </c>
      <c r="M989" s="2" t="str">
        <f>HYPERLINK("https://docs.wto.org/imrd/directdoc.asp?DDFDocuments/v/G/SPS/NIND103.DOC")</f>
        <v>https://docs.wto.org/imrd/directdoc.asp?DDFDocuments/v/G/SPS/NIND103.DOC</v>
      </c>
      <c r="N989" s="2" t="str">
        <f>HYPERLINK("http://www.epingalert.org/#/details/G/SPS/N/IND/103")</f>
        <v>http://www.epingalert.org/#/details/G/SPS/N/IND/103</v>
      </c>
      <c r="O989" s="2"/>
    </row>
    <row r="990" spans="1:15" ht="240" customHeight="1" outlineLevel="1" x14ac:dyDescent="0.25">
      <c r="A990" s="2" t="s">
        <v>37</v>
      </c>
      <c r="B990" s="2" t="s">
        <v>7754</v>
      </c>
      <c r="C990" s="2" t="s">
        <v>7755</v>
      </c>
      <c r="D990" s="2" t="s">
        <v>7756</v>
      </c>
      <c r="E990" s="3">
        <v>42117</v>
      </c>
      <c r="F990" s="2" t="s">
        <v>7757</v>
      </c>
      <c r="G990" s="2" t="s">
        <v>7758</v>
      </c>
      <c r="H990" s="2" t="s">
        <v>2425</v>
      </c>
      <c r="I990" s="2" t="s">
        <v>2461</v>
      </c>
      <c r="J990" s="3">
        <v>42177</v>
      </c>
      <c r="K990" s="2" t="str">
        <f>HYPERLINK("https://docs.wto.org/imrd/directdoc.asp?DDFDocuments/t/G/SPS/NTUR57.DOC")</f>
        <v>https://docs.wto.org/imrd/directdoc.asp?DDFDocuments/t/G/SPS/NTUR57.DOC</v>
      </c>
      <c r="L990" s="2" t="str">
        <f>HYPERLINK("https://docs.wto.org/imrd/directdoc.asp?DDFDocuments/u/G/SPS/NTUR57.DOC")</f>
        <v>https://docs.wto.org/imrd/directdoc.asp?DDFDocuments/u/G/SPS/NTUR57.DOC</v>
      </c>
      <c r="M990" s="2" t="str">
        <f>HYPERLINK("https://docs.wto.org/imrd/directdoc.asp?DDFDocuments/v/G/SPS/NTUR57.DOC")</f>
        <v>https://docs.wto.org/imrd/directdoc.asp?DDFDocuments/v/G/SPS/NTUR57.DOC</v>
      </c>
      <c r="N990" s="2" t="str">
        <f>HYPERLINK("http://www.epingalert.org/#/details/G/SPS/N/TUR/57")</f>
        <v>http://www.epingalert.org/#/details/G/SPS/N/TUR/57</v>
      </c>
      <c r="O990" s="2"/>
    </row>
    <row r="991" spans="1:15" ht="240" customHeight="1" outlineLevel="1" x14ac:dyDescent="0.25">
      <c r="A991" s="2" t="s">
        <v>18</v>
      </c>
      <c r="B991" s="2" t="s">
        <v>4403</v>
      </c>
      <c r="C991" s="2" t="s">
        <v>4404</v>
      </c>
      <c r="D991" s="2" t="s">
        <v>4405</v>
      </c>
      <c r="E991" s="3">
        <v>42117</v>
      </c>
      <c r="F991" s="2" t="s">
        <v>3215</v>
      </c>
      <c r="G991" s="2" t="s">
        <v>1646</v>
      </c>
      <c r="H991" s="2" t="s">
        <v>2425</v>
      </c>
      <c r="I991" s="2" t="s">
        <v>4406</v>
      </c>
      <c r="J991" s="2"/>
      <c r="K991" s="2" t="str">
        <f>HYPERLINK("https://docs.wto.org/imrd/directdoc.asp?DDFDocuments/t/G/SPS/NUSA2754.DOC")</f>
        <v>https://docs.wto.org/imrd/directdoc.asp?DDFDocuments/t/G/SPS/NUSA2754.DOC</v>
      </c>
      <c r="L991" s="2" t="str">
        <f>HYPERLINK("https://docs.wto.org/imrd/directdoc.asp?DDFDocuments/u/G/SPS/NUSA2754.DOC")</f>
        <v>https://docs.wto.org/imrd/directdoc.asp?DDFDocuments/u/G/SPS/NUSA2754.DOC</v>
      </c>
      <c r="M991" s="2" t="str">
        <f>HYPERLINK("https://docs.wto.org/imrd/directdoc.asp?DDFDocuments/v/G/SPS/NUSA2754.DOC")</f>
        <v>https://docs.wto.org/imrd/directdoc.asp?DDFDocuments/v/G/SPS/NUSA2754.DOC</v>
      </c>
      <c r="N991" s="2" t="str">
        <f>HYPERLINK("http://www.epingalert.org/#/details/G/SPS/N/USA/2754")</f>
        <v>http://www.epingalert.org/#/details/G/SPS/N/USA/2754</v>
      </c>
      <c r="O991" s="2"/>
    </row>
    <row r="992" spans="1:15" ht="240" customHeight="1" outlineLevel="1" x14ac:dyDescent="0.25">
      <c r="A992" s="2" t="s">
        <v>1042</v>
      </c>
      <c r="B992" s="2" t="s">
        <v>7759</v>
      </c>
      <c r="C992" s="2" t="s">
        <v>7760</v>
      </c>
      <c r="D992" s="2" t="s">
        <v>7761</v>
      </c>
      <c r="E992" s="3">
        <v>42115</v>
      </c>
      <c r="F992" s="2" t="s">
        <v>7762</v>
      </c>
      <c r="G992" s="2" t="s">
        <v>7763</v>
      </c>
      <c r="H992" s="2" t="s">
        <v>2425</v>
      </c>
      <c r="I992" s="2" t="s">
        <v>7764</v>
      </c>
      <c r="J992" s="3">
        <v>42177</v>
      </c>
      <c r="K992" s="2" t="str">
        <f>HYPERLINK("https://docs.wto.org/imrd/directdoc.asp?DDFDocuments/t/G/SPS/NPHL281.DOC")</f>
        <v>https://docs.wto.org/imrd/directdoc.asp?DDFDocuments/t/G/SPS/NPHL281.DOC</v>
      </c>
      <c r="L992" s="2" t="str">
        <f>HYPERLINK("https://docs.wto.org/imrd/directdoc.asp?DDFDocuments/u/G/SPS/NPHL281.DOC")</f>
        <v>https://docs.wto.org/imrd/directdoc.asp?DDFDocuments/u/G/SPS/NPHL281.DOC</v>
      </c>
      <c r="M992" s="2" t="str">
        <f>HYPERLINK("https://docs.wto.org/imrd/directdoc.asp?DDFDocuments/v/G/SPS/NPHL281.DOC")</f>
        <v>https://docs.wto.org/imrd/directdoc.asp?DDFDocuments/v/G/SPS/NPHL281.DOC</v>
      </c>
      <c r="N992" s="2" t="str">
        <f>HYPERLINK("http://www.epingalert.org/#/details/G/SPS/N/PHL/281")</f>
        <v>http://www.epingalert.org/#/details/G/SPS/N/PHL/281</v>
      </c>
      <c r="O992" s="2"/>
    </row>
    <row r="993" spans="1:15" ht="240" customHeight="1" outlineLevel="1" x14ac:dyDescent="0.25">
      <c r="A993" s="2" t="s">
        <v>646</v>
      </c>
      <c r="B993" s="2" t="s">
        <v>4412</v>
      </c>
      <c r="C993" s="2" t="s">
        <v>4413</v>
      </c>
      <c r="D993" s="2" t="s">
        <v>4414</v>
      </c>
      <c r="E993" s="3">
        <v>42115</v>
      </c>
      <c r="F993" s="2" t="s">
        <v>4415</v>
      </c>
      <c r="G993" s="2"/>
      <c r="H993" s="2" t="s">
        <v>2425</v>
      </c>
      <c r="I993" s="2" t="s">
        <v>2461</v>
      </c>
      <c r="J993" s="3">
        <v>42175</v>
      </c>
      <c r="K993" s="2" t="str">
        <f>HYPERLINK("https://docs.wto.org/imrd/directdoc.asp?DDFDocuments/t/G/SPS/NVNM67.DOC")</f>
        <v>https://docs.wto.org/imrd/directdoc.asp?DDFDocuments/t/G/SPS/NVNM67.DOC</v>
      </c>
      <c r="L993" s="2" t="str">
        <f>HYPERLINK("https://docs.wto.org/imrd/directdoc.asp?DDFDocuments/u/G/SPS/NVNM67.DOC")</f>
        <v>https://docs.wto.org/imrd/directdoc.asp?DDFDocuments/u/G/SPS/NVNM67.DOC</v>
      </c>
      <c r="M993" s="2" t="str">
        <f>HYPERLINK("https://docs.wto.org/imrd/directdoc.asp?DDFDocuments/v/G/SPS/NVNM67.DOC")</f>
        <v>https://docs.wto.org/imrd/directdoc.asp?DDFDocuments/v/G/SPS/NVNM67.DOC</v>
      </c>
      <c r="N993" s="2" t="str">
        <f>HYPERLINK("http://www.epingalert.org/#/details/G/SPS/N/VNM/67")</f>
        <v>http://www.epingalert.org/#/details/G/SPS/N/VNM/67</v>
      </c>
      <c r="O993" s="2"/>
    </row>
    <row r="994" spans="1:15" ht="240" customHeight="1" outlineLevel="1" x14ac:dyDescent="0.25">
      <c r="A994" s="2" t="s">
        <v>12</v>
      </c>
      <c r="B994" s="2" t="s">
        <v>4407</v>
      </c>
      <c r="C994" s="2"/>
      <c r="D994" s="2"/>
      <c r="E994" s="3">
        <v>42115</v>
      </c>
      <c r="F994" s="2" t="s">
        <v>2451</v>
      </c>
      <c r="G994" s="2" t="s">
        <v>4408</v>
      </c>
      <c r="H994" s="2" t="s">
        <v>2425</v>
      </c>
      <c r="I994" s="2" t="s">
        <v>2444</v>
      </c>
      <c r="J994" s="2"/>
      <c r="K994" s="2" t="str">
        <f>HYPERLINK("https://docs.wto.org/imrd/directdoc.asp?DDFDocuments/t/G/SPS/NEU84A1.DOC")</f>
        <v>https://docs.wto.org/imrd/directdoc.asp?DDFDocuments/t/G/SPS/NEU84A1.DOC</v>
      </c>
      <c r="L994" s="2" t="str">
        <f>HYPERLINK("https://docs.wto.org/imrd/directdoc.asp?DDFDocuments/u/G/SPS/NEU84A1.DOC")</f>
        <v>https://docs.wto.org/imrd/directdoc.asp?DDFDocuments/u/G/SPS/NEU84A1.DOC</v>
      </c>
      <c r="M994" s="2" t="str">
        <f>HYPERLINK("https://docs.wto.org/imrd/directdoc.asp?DDFDocuments/v/G/SPS/NEU84A1.DOC")</f>
        <v>https://docs.wto.org/imrd/directdoc.asp?DDFDocuments/v/G/SPS/NEU84A1.DOC</v>
      </c>
      <c r="N994" s="2" t="str">
        <f>HYPERLINK("http://www.epingalert.org/#/details/G/SPS/N/EU/84/Add.1")</f>
        <v>http://www.epingalert.org/#/details/G/SPS/N/EU/84/Add.1</v>
      </c>
      <c r="O994" s="2"/>
    </row>
    <row r="995" spans="1:15" ht="240" customHeight="1" outlineLevel="1" x14ac:dyDescent="0.25">
      <c r="A995" s="2" t="s">
        <v>646</v>
      </c>
      <c r="B995" s="2" t="s">
        <v>4409</v>
      </c>
      <c r="C995" s="2"/>
      <c r="D995" s="2"/>
      <c r="E995" s="3">
        <v>42115</v>
      </c>
      <c r="F995" s="2" t="s">
        <v>4410</v>
      </c>
      <c r="G995" s="2" t="s">
        <v>4411</v>
      </c>
      <c r="H995" s="2" t="s">
        <v>2425</v>
      </c>
      <c r="I995" s="2" t="s">
        <v>2444</v>
      </c>
      <c r="J995" s="2"/>
      <c r="K995" s="2" t="str">
        <f>HYPERLINK("https://docs.wto.org/imrd/directdoc.asp?DDFDocuments/t/G/SPS/NVNM59A1.DOC")</f>
        <v>https://docs.wto.org/imrd/directdoc.asp?DDFDocuments/t/G/SPS/NVNM59A1.DOC</v>
      </c>
      <c r="L995" s="2" t="str">
        <f>HYPERLINK("https://docs.wto.org/imrd/directdoc.asp?DDFDocuments/u/G/SPS/NVNM59A1.DOC")</f>
        <v>https://docs.wto.org/imrd/directdoc.asp?DDFDocuments/u/G/SPS/NVNM59A1.DOC</v>
      </c>
      <c r="M995" s="2" t="str">
        <f>HYPERLINK("https://docs.wto.org/imrd/directdoc.asp?DDFDocuments/v/G/SPS/NVNM59A1.DOC")</f>
        <v>https://docs.wto.org/imrd/directdoc.asp?DDFDocuments/v/G/SPS/NVNM59A1.DOC</v>
      </c>
      <c r="N995" s="2" t="str">
        <f>HYPERLINK("http://www.epingalert.org/#/details/G/SPS/N/VNM/59/Add.1")</f>
        <v>http://www.epingalert.org/#/details/G/SPS/N/VNM/59/Add.1</v>
      </c>
      <c r="O995" s="2"/>
    </row>
    <row r="996" spans="1:15" ht="240" customHeight="1" outlineLevel="1" x14ac:dyDescent="0.25">
      <c r="A996" s="2" t="s">
        <v>173</v>
      </c>
      <c r="B996" s="2" t="s">
        <v>4416</v>
      </c>
      <c r="C996" s="2" t="s">
        <v>4417</v>
      </c>
      <c r="D996" s="2" t="s">
        <v>724</v>
      </c>
      <c r="E996" s="3">
        <v>42111</v>
      </c>
      <c r="F996" s="2" t="s">
        <v>4418</v>
      </c>
      <c r="G996" s="2"/>
      <c r="H996" s="2" t="s">
        <v>2425</v>
      </c>
      <c r="I996" s="2" t="s">
        <v>2461</v>
      </c>
      <c r="J996" s="3">
        <v>42171</v>
      </c>
      <c r="K996" s="2" t="str">
        <f>HYPERLINK("https://docs.wto.org/imrd/directdoc.asp?DDFDocuments/t/G/SPS/NSAU154.DOC")</f>
        <v>https://docs.wto.org/imrd/directdoc.asp?DDFDocuments/t/G/SPS/NSAU154.DOC</v>
      </c>
      <c r="L996" s="2" t="str">
        <f>HYPERLINK("https://docs.wto.org/imrd/directdoc.asp?DDFDocuments/u/G/SPS/NSAU154.DOC")</f>
        <v>https://docs.wto.org/imrd/directdoc.asp?DDFDocuments/u/G/SPS/NSAU154.DOC</v>
      </c>
      <c r="M996" s="2" t="str">
        <f>HYPERLINK("https://docs.wto.org/imrd/directdoc.asp?DDFDocuments/v/G/SPS/NSAU154.DOC")</f>
        <v>https://docs.wto.org/imrd/directdoc.asp?DDFDocuments/v/G/SPS/NSAU154.DOC</v>
      </c>
      <c r="N996" s="2" t="str">
        <f>HYPERLINK("http://www.epingalert.org/#/details/G/SPS/N/SAU/154")</f>
        <v>http://www.epingalert.org/#/details/G/SPS/N/SAU/154</v>
      </c>
      <c r="O996" s="2"/>
    </row>
    <row r="997" spans="1:15" ht="240" customHeight="1" outlineLevel="1" x14ac:dyDescent="0.25">
      <c r="A997" s="2" t="s">
        <v>25</v>
      </c>
      <c r="B997" s="2" t="s">
        <v>4419</v>
      </c>
      <c r="C997" s="2" t="s">
        <v>4420</v>
      </c>
      <c r="D997" s="2" t="s">
        <v>4421</v>
      </c>
      <c r="E997" s="3">
        <v>42110</v>
      </c>
      <c r="F997" s="2" t="s">
        <v>4422</v>
      </c>
      <c r="G997" s="2"/>
      <c r="H997" s="2" t="s">
        <v>2573</v>
      </c>
      <c r="I997" s="2" t="s">
        <v>2461</v>
      </c>
      <c r="J997" s="3">
        <v>42170</v>
      </c>
      <c r="K997" s="2" t="str">
        <f>HYPERLINK("https://docs.wto.org/imrd/directdoc.asp?DDFDocuments/t/G/SPS/NKOR499.DOC")</f>
        <v>https://docs.wto.org/imrd/directdoc.asp?DDFDocuments/t/G/SPS/NKOR499.DOC</v>
      </c>
      <c r="L997" s="2" t="str">
        <f>HYPERLINK("https://docs.wto.org/imrd/directdoc.asp?DDFDocuments/u/G/SPS/NKOR499.DOC")</f>
        <v>https://docs.wto.org/imrd/directdoc.asp?DDFDocuments/u/G/SPS/NKOR499.DOC</v>
      </c>
      <c r="M997" s="2" t="str">
        <f>HYPERLINK("https://docs.wto.org/imrd/directdoc.asp?DDFDocuments/v/G/SPS/NKOR499.DOC")</f>
        <v>https://docs.wto.org/imrd/directdoc.asp?DDFDocuments/v/G/SPS/NKOR499.DOC</v>
      </c>
      <c r="N997" s="2" t="str">
        <f>HYPERLINK("http://www.epingalert.org/#/details/G/SPS/N/KOR/499")</f>
        <v>http://www.epingalert.org/#/details/G/SPS/N/KOR/499</v>
      </c>
      <c r="O997" s="2"/>
    </row>
    <row r="998" spans="1:15" ht="240" customHeight="1" outlineLevel="1" x14ac:dyDescent="0.25">
      <c r="A998" s="2" t="s">
        <v>25</v>
      </c>
      <c r="B998" s="2" t="s">
        <v>4423</v>
      </c>
      <c r="C998" s="2" t="s">
        <v>4424</v>
      </c>
      <c r="D998" s="2" t="s">
        <v>4425</v>
      </c>
      <c r="E998" s="3">
        <v>42110</v>
      </c>
      <c r="F998" s="2" t="s">
        <v>4422</v>
      </c>
      <c r="G998" s="2"/>
      <c r="H998" s="2" t="s">
        <v>2573</v>
      </c>
      <c r="I998" s="2" t="s">
        <v>2425</v>
      </c>
      <c r="J998" s="3">
        <v>42170</v>
      </c>
      <c r="K998" s="2" t="str">
        <f>HYPERLINK("https://docs.wto.org/imrd/directdoc.asp?DDFDocuments/t/G/SPS/NKOR500.DOC")</f>
        <v>https://docs.wto.org/imrd/directdoc.asp?DDFDocuments/t/G/SPS/NKOR500.DOC</v>
      </c>
      <c r="L998" s="2" t="str">
        <f>HYPERLINK("https://docs.wto.org/imrd/directdoc.asp?DDFDocuments/u/G/SPS/NKOR500.DOC")</f>
        <v>https://docs.wto.org/imrd/directdoc.asp?DDFDocuments/u/G/SPS/NKOR500.DOC</v>
      </c>
      <c r="M998" s="2" t="str">
        <f>HYPERLINK("https://docs.wto.org/imrd/directdoc.asp?DDFDocuments/v/G/SPS/NKOR500.DOC")</f>
        <v>https://docs.wto.org/imrd/directdoc.asp?DDFDocuments/v/G/SPS/NKOR500.DOC</v>
      </c>
      <c r="N998" s="2" t="str">
        <f>HYPERLINK("http://www.epingalert.org/#/details/G/SPS/N/KOR/500")</f>
        <v>http://www.epingalert.org/#/details/G/SPS/N/KOR/500</v>
      </c>
      <c r="O998" s="2"/>
    </row>
    <row r="999" spans="1:15" ht="240" customHeight="1" outlineLevel="1" x14ac:dyDescent="0.25">
      <c r="A999" s="2" t="s">
        <v>18</v>
      </c>
      <c r="B999" s="2" t="s">
        <v>4426</v>
      </c>
      <c r="C999" s="2"/>
      <c r="D999" s="2"/>
      <c r="E999" s="3">
        <v>42109</v>
      </c>
      <c r="F999" s="2" t="s">
        <v>2747</v>
      </c>
      <c r="G999" s="2"/>
      <c r="H999" s="2" t="s">
        <v>2648</v>
      </c>
      <c r="I999" s="2" t="s">
        <v>2491</v>
      </c>
      <c r="J999" s="3">
        <v>42163</v>
      </c>
      <c r="K999" s="2" t="str">
        <f>HYPERLINK("https://docs.wto.org/imrd/directdoc.asp?DDFDocuments/t/G/SPS/NUSA691A14.DOC")</f>
        <v>https://docs.wto.org/imrd/directdoc.asp?DDFDocuments/t/G/SPS/NUSA691A14.DOC</v>
      </c>
      <c r="L999" s="2" t="str">
        <f>HYPERLINK("https://docs.wto.org/imrd/directdoc.asp?DDFDocuments/u/G/SPS/NUSA691A14.DOC")</f>
        <v>https://docs.wto.org/imrd/directdoc.asp?DDFDocuments/u/G/SPS/NUSA691A14.DOC</v>
      </c>
      <c r="M999" s="2" t="str">
        <f>HYPERLINK("https://docs.wto.org/imrd/directdoc.asp?DDFDocuments/v/G/SPS/NUSA691A14.DOC")</f>
        <v>https://docs.wto.org/imrd/directdoc.asp?DDFDocuments/v/G/SPS/NUSA691A14.DOC</v>
      </c>
      <c r="N999" s="2" t="str">
        <f>HYPERLINK("http://www.epingalert.org/#/details/G/SPS/N/USA/691/Add.14")</f>
        <v>http://www.epingalert.org/#/details/G/SPS/N/USA/691/Add.14</v>
      </c>
      <c r="O999" s="2"/>
    </row>
    <row r="1000" spans="1:15" ht="240" customHeight="1" outlineLevel="1" x14ac:dyDescent="0.25">
      <c r="A1000" s="2" t="s">
        <v>12</v>
      </c>
      <c r="B1000" s="2" t="s">
        <v>4427</v>
      </c>
      <c r="C1000" s="2"/>
      <c r="D1000" s="2"/>
      <c r="E1000" s="3">
        <v>42109</v>
      </c>
      <c r="F1000" s="2" t="s">
        <v>2451</v>
      </c>
      <c r="G1000" s="2" t="s">
        <v>4428</v>
      </c>
      <c r="H1000" s="2" t="s">
        <v>2573</v>
      </c>
      <c r="I1000" s="2" t="s">
        <v>2444</v>
      </c>
      <c r="J1000" s="2"/>
      <c r="K1000" s="2" t="str">
        <f>HYPERLINK("https://docs.wto.org/imrd/directdoc.asp?DDFDocuments/t/G/SPS/NEU93A1.DOC")</f>
        <v>https://docs.wto.org/imrd/directdoc.asp?DDFDocuments/t/G/SPS/NEU93A1.DOC</v>
      </c>
      <c r="L1000" s="2" t="str">
        <f>HYPERLINK("https://docs.wto.org/imrd/directdoc.asp?DDFDocuments/u/G/SPS/NEU93A1.DOC")</f>
        <v>https://docs.wto.org/imrd/directdoc.asp?DDFDocuments/u/G/SPS/NEU93A1.DOC</v>
      </c>
      <c r="M1000" s="2" t="str">
        <f>HYPERLINK("https://docs.wto.org/imrd/directdoc.asp?DDFDocuments/v/G/SPS/NEU93A1.DOC")</f>
        <v>https://docs.wto.org/imrd/directdoc.asp?DDFDocuments/v/G/SPS/NEU93A1.DOC</v>
      </c>
      <c r="N1000" s="2" t="str">
        <f>HYPERLINK("http://www.epingalert.org/#/details/G/SPS/N/EU/93/Add.1")</f>
        <v>http://www.epingalert.org/#/details/G/SPS/N/EU/93/Add.1</v>
      </c>
      <c r="O1000" s="2"/>
    </row>
    <row r="1001" spans="1:15" ht="240" customHeight="1" outlineLevel="1" x14ac:dyDescent="0.25">
      <c r="A1001" s="2" t="s">
        <v>31</v>
      </c>
      <c r="B1001" s="2" t="s">
        <v>6659</v>
      </c>
      <c r="C1001" s="2"/>
      <c r="D1001" s="2"/>
      <c r="E1001" s="3">
        <v>42109</v>
      </c>
      <c r="F1001" s="2" t="s">
        <v>6660</v>
      </c>
      <c r="G1001" s="2" t="s">
        <v>6661</v>
      </c>
      <c r="H1001" s="2" t="s">
        <v>2425</v>
      </c>
      <c r="I1001" s="2" t="s">
        <v>2444</v>
      </c>
      <c r="J1001" s="2"/>
      <c r="K1001" s="2" t="str">
        <f>HYPERLINK("https://docs.wto.org/imrd/directdoc.asp?DDFDocuments/t/G/SPS/NTHA221A1.DOC")</f>
        <v>https://docs.wto.org/imrd/directdoc.asp?DDFDocuments/t/G/SPS/NTHA221A1.DOC</v>
      </c>
      <c r="L1001" s="2" t="str">
        <f>HYPERLINK("https://docs.wto.org/imrd/directdoc.asp?DDFDocuments/u/G/SPS/NTHA221A1.DOC")</f>
        <v>https://docs.wto.org/imrd/directdoc.asp?DDFDocuments/u/G/SPS/NTHA221A1.DOC</v>
      </c>
      <c r="M1001" s="2" t="str">
        <f>HYPERLINK("https://docs.wto.org/imrd/directdoc.asp?DDFDocuments/v/G/SPS/NTHA221A1.DOC")</f>
        <v>https://docs.wto.org/imrd/directdoc.asp?DDFDocuments/v/G/SPS/NTHA221A1.DOC</v>
      </c>
      <c r="N1001" s="2" t="str">
        <f>HYPERLINK("http://www.epingalert.org/#/details/G/SPS/N/THA/221/Add.1")</f>
        <v>http://www.epingalert.org/#/details/G/SPS/N/THA/221/Add.1</v>
      </c>
      <c r="O1001" s="2"/>
    </row>
    <row r="1002" spans="1:15" ht="240" customHeight="1" outlineLevel="1" x14ac:dyDescent="0.25">
      <c r="A1002" s="2" t="s">
        <v>37</v>
      </c>
      <c r="B1002" s="2" t="s">
        <v>4429</v>
      </c>
      <c r="C1002" s="2"/>
      <c r="D1002" s="2"/>
      <c r="E1002" s="3">
        <v>42108</v>
      </c>
      <c r="F1002" s="2" t="s">
        <v>2489</v>
      </c>
      <c r="G1002" s="2"/>
      <c r="H1002" s="2" t="s">
        <v>2490</v>
      </c>
      <c r="I1002" s="2" t="s">
        <v>4430</v>
      </c>
      <c r="J1002" s="3">
        <v>42168</v>
      </c>
      <c r="K1002" s="2" t="str">
        <f>HYPERLINK("https://docs.wto.org/imrd/directdoc.asp?DDFDocuments/t/G/SPS/NTUR9A1.DOC")</f>
        <v>https://docs.wto.org/imrd/directdoc.asp?DDFDocuments/t/G/SPS/NTUR9A1.DOC</v>
      </c>
      <c r="L1002" s="2" t="str">
        <f>HYPERLINK("https://docs.wto.org/imrd/directdoc.asp?DDFDocuments/u/G/SPS/NTUR9A1.DOC")</f>
        <v>https://docs.wto.org/imrd/directdoc.asp?DDFDocuments/u/G/SPS/NTUR9A1.DOC</v>
      </c>
      <c r="M1002" s="2" t="str">
        <f>HYPERLINK("https://docs.wto.org/imrd/directdoc.asp?DDFDocuments/v/G/SPS/NTUR9A1.DOC")</f>
        <v>https://docs.wto.org/imrd/directdoc.asp?DDFDocuments/v/G/SPS/NTUR9A1.DOC</v>
      </c>
      <c r="N1002" s="2" t="str">
        <f>HYPERLINK("http://www.epingalert.org/#/details/G/SPS/N/TUR/9/Add.1")</f>
        <v>http://www.epingalert.org/#/details/G/SPS/N/TUR/9/Add.1</v>
      </c>
      <c r="O1002" s="2"/>
    </row>
    <row r="1003" spans="1:15" ht="240" customHeight="1" outlineLevel="1" x14ac:dyDescent="0.25">
      <c r="A1003" s="2" t="s">
        <v>179</v>
      </c>
      <c r="B1003" s="2" t="s">
        <v>4435</v>
      </c>
      <c r="C1003" s="2" t="s">
        <v>4436</v>
      </c>
      <c r="D1003" s="2" t="s">
        <v>4437</v>
      </c>
      <c r="E1003" s="3">
        <v>42108</v>
      </c>
      <c r="F1003" s="2" t="s">
        <v>4438</v>
      </c>
      <c r="G1003" s="2" t="s">
        <v>4439</v>
      </c>
      <c r="H1003" s="2" t="s">
        <v>4440</v>
      </c>
      <c r="I1003" s="2" t="s">
        <v>2461</v>
      </c>
      <c r="J1003" s="3">
        <v>42168</v>
      </c>
      <c r="K1003" s="2" t="str">
        <f>HYPERLINK("https://docs.wto.org/imrd/directdoc.asp?DDFDocuments/t/G/SPS/NOMN44R1.DOC")</f>
        <v>https://docs.wto.org/imrd/directdoc.asp?DDFDocuments/t/G/SPS/NOMN44R1.DOC</v>
      </c>
      <c r="L1003" s="2" t="str">
        <f>HYPERLINK("https://docs.wto.org/imrd/directdoc.asp?DDFDocuments/u/G/SPS/NOMN44R1.DOC")</f>
        <v>https://docs.wto.org/imrd/directdoc.asp?DDFDocuments/u/G/SPS/NOMN44R1.DOC</v>
      </c>
      <c r="M1003" s="2" t="str">
        <f>HYPERLINK("https://docs.wto.org/imrd/directdoc.asp?DDFDocuments/v/G/SPS/NOMN44R1.DOC")</f>
        <v>https://docs.wto.org/imrd/directdoc.asp?DDFDocuments/v/G/SPS/NOMN44R1.DOC</v>
      </c>
      <c r="N1003" s="2" t="str">
        <f>HYPERLINK("http://www.epingalert.org/#/details/G/SPS/N/OMN/44/Rev.1")</f>
        <v>http://www.epingalert.org/#/details/G/SPS/N/OMN/44/Rev.1</v>
      </c>
      <c r="O1003" s="2"/>
    </row>
    <row r="1004" spans="1:15" ht="240" customHeight="1" outlineLevel="1" x14ac:dyDescent="0.25">
      <c r="A1004" s="2" t="s">
        <v>12</v>
      </c>
      <c r="B1004" s="2" t="s">
        <v>4431</v>
      </c>
      <c r="C1004" s="2" t="s">
        <v>4432</v>
      </c>
      <c r="D1004" s="2" t="s">
        <v>4433</v>
      </c>
      <c r="E1004" s="3">
        <v>42108</v>
      </c>
      <c r="F1004" s="2" t="s">
        <v>4434</v>
      </c>
      <c r="G1004" s="2"/>
      <c r="H1004" s="2" t="s">
        <v>2573</v>
      </c>
      <c r="I1004" s="2" t="s">
        <v>2426</v>
      </c>
      <c r="J1004" s="2"/>
      <c r="K1004" s="2" t="str">
        <f>HYPERLINK("https://docs.wto.org/imrd/directdoc.asp?DDFDocuments/t/G/SPS/NEU126.DOC")</f>
        <v>https://docs.wto.org/imrd/directdoc.asp?DDFDocuments/t/G/SPS/NEU126.DOC</v>
      </c>
      <c r="L1004" s="2" t="str">
        <f>HYPERLINK("https://docs.wto.org/imrd/directdoc.asp?DDFDocuments/u/G/SPS/NEU126.DOC")</f>
        <v>https://docs.wto.org/imrd/directdoc.asp?DDFDocuments/u/G/SPS/NEU126.DOC</v>
      </c>
      <c r="M1004" s="2" t="str">
        <f>HYPERLINK("https://docs.wto.org/imrd/directdoc.asp?DDFDocuments/v/G/SPS/NEU126.DOC")</f>
        <v>https://docs.wto.org/imrd/directdoc.asp?DDFDocuments/v/G/SPS/NEU126.DOC</v>
      </c>
      <c r="N1004" s="2" t="str">
        <f>HYPERLINK("http://www.epingalert.org/#/details/G/SPS/N/EU/126")</f>
        <v>http://www.epingalert.org/#/details/G/SPS/N/EU/126</v>
      </c>
      <c r="O1004" s="2"/>
    </row>
    <row r="1005" spans="1:15" ht="240" customHeight="1" outlineLevel="1" x14ac:dyDescent="0.25">
      <c r="A1005" s="2" t="s">
        <v>42</v>
      </c>
      <c r="B1005" s="2" t="s">
        <v>4441</v>
      </c>
      <c r="C1005" s="2" t="s">
        <v>4442</v>
      </c>
      <c r="D1005" s="2" t="s">
        <v>4443</v>
      </c>
      <c r="E1005" s="3">
        <v>42102</v>
      </c>
      <c r="F1005" s="2" t="s">
        <v>4444</v>
      </c>
      <c r="G1005" s="2"/>
      <c r="H1005" s="2" t="s">
        <v>2425</v>
      </c>
      <c r="I1005" s="2" t="s">
        <v>2453</v>
      </c>
      <c r="J1005" s="3">
        <v>42125</v>
      </c>
      <c r="K1005" s="2" t="str">
        <f>HYPERLINK("https://docs.wto.org/imrd/directdoc.asp?DDFDocuments/t/G/SPS/NBRA1025.DOC")</f>
        <v>https://docs.wto.org/imrd/directdoc.asp?DDFDocuments/t/G/SPS/NBRA1025.DOC</v>
      </c>
      <c r="L1005" s="2" t="str">
        <f>HYPERLINK("https://docs.wto.org/imrd/directdoc.asp?DDFDocuments/u/G/SPS/NBRA1025.DOC")</f>
        <v>https://docs.wto.org/imrd/directdoc.asp?DDFDocuments/u/G/SPS/NBRA1025.DOC</v>
      </c>
      <c r="M1005" s="2" t="str">
        <f>HYPERLINK("https://docs.wto.org/imrd/directdoc.asp?DDFDocuments/v/G/SPS/NBRA1025.DOC")</f>
        <v>https://docs.wto.org/imrd/directdoc.asp?DDFDocuments/v/G/SPS/NBRA1025.DOC</v>
      </c>
      <c r="N1005" s="2" t="str">
        <f>HYPERLINK("http://www.epingalert.org/#/details/G/SPS/N/BRA/1025")</f>
        <v>http://www.epingalert.org/#/details/G/SPS/N/BRA/1025</v>
      </c>
      <c r="O1005" s="2"/>
    </row>
    <row r="1006" spans="1:15" ht="240" customHeight="1" outlineLevel="1" x14ac:dyDescent="0.25">
      <c r="A1006" s="2" t="s">
        <v>42</v>
      </c>
      <c r="B1006" s="2" t="s">
        <v>4445</v>
      </c>
      <c r="C1006" s="2" t="s">
        <v>4446</v>
      </c>
      <c r="D1006" s="2" t="s">
        <v>4447</v>
      </c>
      <c r="E1006" s="3">
        <v>42102</v>
      </c>
      <c r="F1006" s="2" t="s">
        <v>4448</v>
      </c>
      <c r="G1006" s="2"/>
      <c r="H1006" s="2" t="s">
        <v>2425</v>
      </c>
      <c r="I1006" s="2" t="s">
        <v>2453</v>
      </c>
      <c r="J1006" s="3">
        <v>42125</v>
      </c>
      <c r="K1006" s="2" t="str">
        <f>HYPERLINK("https://docs.wto.org/imrd/directdoc.asp?DDFDocuments/t/G/SPS/NBRA1024.DOC")</f>
        <v>https://docs.wto.org/imrd/directdoc.asp?DDFDocuments/t/G/SPS/NBRA1024.DOC</v>
      </c>
      <c r="L1006" s="2" t="str">
        <f>HYPERLINK("https://docs.wto.org/imrd/directdoc.asp?DDFDocuments/u/G/SPS/NBRA1024.DOC")</f>
        <v>https://docs.wto.org/imrd/directdoc.asp?DDFDocuments/u/G/SPS/NBRA1024.DOC</v>
      </c>
      <c r="M1006" s="2" t="str">
        <f>HYPERLINK("https://docs.wto.org/imrd/directdoc.asp?DDFDocuments/v/G/SPS/NBRA1024.DOC")</f>
        <v>https://docs.wto.org/imrd/directdoc.asp?DDFDocuments/v/G/SPS/NBRA1024.DOC</v>
      </c>
      <c r="N1006" s="2" t="str">
        <f>HYPERLINK("http://www.epingalert.org/#/details/G/SPS/N/BRA/1024")</f>
        <v>http://www.epingalert.org/#/details/G/SPS/N/BRA/1024</v>
      </c>
      <c r="O1006" s="2"/>
    </row>
    <row r="1007" spans="1:15" ht="240" customHeight="1" outlineLevel="1" x14ac:dyDescent="0.25">
      <c r="A1007" s="2" t="s">
        <v>42</v>
      </c>
      <c r="B1007" s="2" t="s">
        <v>4449</v>
      </c>
      <c r="C1007" s="2" t="s">
        <v>3452</v>
      </c>
      <c r="D1007" s="2" t="s">
        <v>4450</v>
      </c>
      <c r="E1007" s="3">
        <v>42102</v>
      </c>
      <c r="F1007" s="2" t="s">
        <v>4450</v>
      </c>
      <c r="G1007" s="2"/>
      <c r="H1007" s="2" t="s">
        <v>2425</v>
      </c>
      <c r="I1007" s="2" t="s">
        <v>2453</v>
      </c>
      <c r="J1007" s="3">
        <v>42125</v>
      </c>
      <c r="K1007" s="2" t="str">
        <f>HYPERLINK("https://docs.wto.org/imrd/directdoc.asp?DDFDocuments/t/G/SPS/NBRA1022.DOC")</f>
        <v>https://docs.wto.org/imrd/directdoc.asp?DDFDocuments/t/G/SPS/NBRA1022.DOC</v>
      </c>
      <c r="L1007" s="2" t="str">
        <f>HYPERLINK("https://docs.wto.org/imrd/directdoc.asp?DDFDocuments/u/G/SPS/NBRA1022.DOC")</f>
        <v>https://docs.wto.org/imrd/directdoc.asp?DDFDocuments/u/G/SPS/NBRA1022.DOC</v>
      </c>
      <c r="M1007" s="2" t="str">
        <f>HYPERLINK("https://docs.wto.org/imrd/directdoc.asp?DDFDocuments/v/G/SPS/NBRA1022.DOC")</f>
        <v>https://docs.wto.org/imrd/directdoc.asp?DDFDocuments/v/G/SPS/NBRA1022.DOC</v>
      </c>
      <c r="N1007" s="2" t="str">
        <f>HYPERLINK("http://www.epingalert.org/#/details/G/SPS/N/BRA/1022")</f>
        <v>http://www.epingalert.org/#/details/G/SPS/N/BRA/1022</v>
      </c>
      <c r="O1007" s="2"/>
    </row>
    <row r="1008" spans="1:15" ht="240" customHeight="1" outlineLevel="1" x14ac:dyDescent="0.25">
      <c r="A1008" s="2" t="s">
        <v>1488</v>
      </c>
      <c r="B1008" s="2" t="s">
        <v>6662</v>
      </c>
      <c r="C1008" s="2"/>
      <c r="D1008" s="2"/>
      <c r="E1008" s="3">
        <v>42101</v>
      </c>
      <c r="F1008" s="2" t="s">
        <v>6663</v>
      </c>
      <c r="G1008" s="2" t="s">
        <v>1646</v>
      </c>
      <c r="H1008" s="2" t="s">
        <v>2425</v>
      </c>
      <c r="I1008" s="2" t="s">
        <v>2444</v>
      </c>
      <c r="J1008" s="2"/>
      <c r="K1008" s="2" t="str">
        <f>HYPERLINK("https://docs.wto.org/imrd/directdoc.asp?DDFDocuments/t/G/SPS/NMEX233A2.DOC")</f>
        <v>https://docs.wto.org/imrd/directdoc.asp?DDFDocuments/t/G/SPS/NMEX233A2.DOC</v>
      </c>
      <c r="L1008" s="2" t="str">
        <f>HYPERLINK("https://docs.wto.org/imrd/directdoc.asp?DDFDocuments/u/G/SPS/NMEX233A2.DOC")</f>
        <v>https://docs.wto.org/imrd/directdoc.asp?DDFDocuments/u/G/SPS/NMEX233A2.DOC</v>
      </c>
      <c r="M1008" s="2" t="str">
        <f>HYPERLINK("https://docs.wto.org/imrd/directdoc.asp?DDFDocuments/v/G/SPS/NMEX233A2.DOC")</f>
        <v>https://docs.wto.org/imrd/directdoc.asp?DDFDocuments/v/G/SPS/NMEX233A2.DOC</v>
      </c>
      <c r="N1008" s="2" t="str">
        <f>HYPERLINK("http://www.epingalert.org/#/details/G/SPS/N/MEX/233/Add.2")</f>
        <v>http://www.epingalert.org/#/details/G/SPS/N/MEX/233/Add.2</v>
      </c>
      <c r="O1008" s="2"/>
    </row>
    <row r="1009" spans="1:15" ht="240" customHeight="1" outlineLevel="1" x14ac:dyDescent="0.25">
      <c r="A1009" s="2" t="s">
        <v>1902</v>
      </c>
      <c r="B1009" s="2" t="s">
        <v>7774</v>
      </c>
      <c r="C1009" s="2" t="s">
        <v>7775</v>
      </c>
      <c r="D1009" s="2" t="s">
        <v>7776</v>
      </c>
      <c r="E1009" s="3">
        <v>42096</v>
      </c>
      <c r="F1009" s="2" t="s">
        <v>7777</v>
      </c>
      <c r="G1009" s="2" t="s">
        <v>7572</v>
      </c>
      <c r="H1009" s="2" t="s">
        <v>2467</v>
      </c>
      <c r="I1009" s="2" t="s">
        <v>7230</v>
      </c>
      <c r="J1009" s="3">
        <v>42156</v>
      </c>
      <c r="K1009" s="2" t="str">
        <f>HYPERLINK("https://docs.wto.org/imrd/directdoc.asp?DDFDocuments/t/G/SPS/NARG181.DOC")</f>
        <v>https://docs.wto.org/imrd/directdoc.asp?DDFDocuments/t/G/SPS/NARG181.DOC</v>
      </c>
      <c r="L1009" s="2" t="str">
        <f>HYPERLINK("https://docs.wto.org/imrd/directdoc.asp?DDFDocuments/u/G/SPS/NARG181.DOC")</f>
        <v>https://docs.wto.org/imrd/directdoc.asp?DDFDocuments/u/G/SPS/NARG181.DOC</v>
      </c>
      <c r="M1009" s="2" t="str">
        <f>HYPERLINK("https://docs.wto.org/imrd/directdoc.asp?DDFDocuments/v/G/SPS/NARG181.DOC")</f>
        <v>https://docs.wto.org/imrd/directdoc.asp?DDFDocuments/v/G/SPS/NARG181.DOC</v>
      </c>
      <c r="N1009" s="2" t="str">
        <f>HYPERLINK("http://www.epingalert.org/#/details/G/SPS/N/ARG/181")</f>
        <v>http://www.epingalert.org/#/details/G/SPS/N/ARG/181</v>
      </c>
      <c r="O1009" s="2"/>
    </row>
    <row r="1010" spans="1:15" ht="240" customHeight="1" outlineLevel="1" x14ac:dyDescent="0.25">
      <c r="A1010" s="2" t="s">
        <v>115</v>
      </c>
      <c r="B1010" s="2" t="s">
        <v>7770</v>
      </c>
      <c r="C1010" s="2" t="s">
        <v>7189</v>
      </c>
      <c r="D1010" s="2" t="s">
        <v>7771</v>
      </c>
      <c r="E1010" s="3">
        <v>42096</v>
      </c>
      <c r="F1010" s="2" t="s">
        <v>7772</v>
      </c>
      <c r="G1010" s="2" t="s">
        <v>7773</v>
      </c>
      <c r="H1010" s="2" t="s">
        <v>2425</v>
      </c>
      <c r="I1010" s="2" t="s">
        <v>2535</v>
      </c>
      <c r="J1010" s="3">
        <v>42132</v>
      </c>
      <c r="K1010" s="2" t="str">
        <f>HYPERLINK("https://docs.wto.org/imrd/directdoc.asp?DDFDocuments/t/G/SPS/NJPN403.DOC")</f>
        <v>https://docs.wto.org/imrd/directdoc.asp?DDFDocuments/t/G/SPS/NJPN403.DOC</v>
      </c>
      <c r="L1010" s="2" t="str">
        <f>HYPERLINK("https://docs.wto.org/imrd/directdoc.asp?DDFDocuments/u/G/SPS/NJPN403.DOC")</f>
        <v>https://docs.wto.org/imrd/directdoc.asp?DDFDocuments/u/G/SPS/NJPN403.DOC</v>
      </c>
      <c r="M1010" s="2" t="str">
        <f>HYPERLINK("https://docs.wto.org/imrd/directdoc.asp?DDFDocuments/v/G/SPS/NJPN403.DOC")</f>
        <v>https://docs.wto.org/imrd/directdoc.asp?DDFDocuments/v/G/SPS/NJPN403.DOC</v>
      </c>
      <c r="N1010" s="2" t="str">
        <f>HYPERLINK("http://www.epingalert.org/#/details/G/SPS/N/JPN/403")</f>
        <v>http://www.epingalert.org/#/details/G/SPS/N/JPN/403</v>
      </c>
      <c r="O1010" s="2"/>
    </row>
    <row r="1011" spans="1:15" ht="240" customHeight="1" outlineLevel="1" x14ac:dyDescent="0.25">
      <c r="A1011" s="2" t="s">
        <v>42</v>
      </c>
      <c r="B1011" s="2" t="s">
        <v>4451</v>
      </c>
      <c r="C1011" s="2" t="s">
        <v>4452</v>
      </c>
      <c r="D1011" s="2" t="s">
        <v>4453</v>
      </c>
      <c r="E1011" s="3">
        <v>42096</v>
      </c>
      <c r="F1011" s="2" t="s">
        <v>4454</v>
      </c>
      <c r="G1011" s="2"/>
      <c r="H1011" s="2" t="s">
        <v>2425</v>
      </c>
      <c r="I1011" s="2" t="s">
        <v>2453</v>
      </c>
      <c r="J1011" s="3">
        <v>42123</v>
      </c>
      <c r="K1011" s="2" t="str">
        <f>HYPERLINK("https://docs.wto.org/imrd/directdoc.asp?DDFDocuments/t/G/SPS/NBRA1021.DOC")</f>
        <v>https://docs.wto.org/imrd/directdoc.asp?DDFDocuments/t/G/SPS/NBRA1021.DOC</v>
      </c>
      <c r="L1011" s="2" t="str">
        <f>HYPERLINK("https://docs.wto.org/imrd/directdoc.asp?DDFDocuments/u/G/SPS/NBRA1021.DOC")</f>
        <v>https://docs.wto.org/imrd/directdoc.asp?DDFDocuments/u/G/SPS/NBRA1021.DOC</v>
      </c>
      <c r="M1011" s="2" t="str">
        <f>HYPERLINK("https://docs.wto.org/imrd/directdoc.asp?DDFDocuments/v/G/SPS/NBRA1021.DOC")</f>
        <v>https://docs.wto.org/imrd/directdoc.asp?DDFDocuments/v/G/SPS/NBRA1021.DOC</v>
      </c>
      <c r="N1011" s="2" t="str">
        <f>HYPERLINK("http://www.epingalert.org/#/details/G/SPS/N/BRA/1021")</f>
        <v>http://www.epingalert.org/#/details/G/SPS/N/BRA/1021</v>
      </c>
      <c r="O1011" s="2"/>
    </row>
    <row r="1012" spans="1:15" ht="240" customHeight="1" outlineLevel="1" x14ac:dyDescent="0.25">
      <c r="A1012" s="2" t="s">
        <v>115</v>
      </c>
      <c r="B1012" s="2" t="s">
        <v>6664</v>
      </c>
      <c r="C1012" s="2" t="s">
        <v>6665</v>
      </c>
      <c r="D1012" s="2" t="s">
        <v>6666</v>
      </c>
      <c r="E1012" s="3">
        <v>42096</v>
      </c>
      <c r="F1012" s="2" t="s">
        <v>6667</v>
      </c>
      <c r="G1012" s="2" t="s">
        <v>1775</v>
      </c>
      <c r="H1012" s="2" t="s">
        <v>2425</v>
      </c>
      <c r="I1012" s="2" t="s">
        <v>2548</v>
      </c>
      <c r="J1012" s="2"/>
      <c r="K1012" s="2" t="str">
        <f>HYPERLINK("https://docs.wto.org/imrd/directdoc.asp?DDFDocuments/t/G/SPS/NJPN404.DOC")</f>
        <v>https://docs.wto.org/imrd/directdoc.asp?DDFDocuments/t/G/SPS/NJPN404.DOC</v>
      </c>
      <c r="L1012" s="2" t="str">
        <f>HYPERLINK("https://docs.wto.org/imrd/directdoc.asp?DDFDocuments/u/G/SPS/NJPN404.DOC")</f>
        <v>https://docs.wto.org/imrd/directdoc.asp?DDFDocuments/u/G/SPS/NJPN404.DOC</v>
      </c>
      <c r="M1012" s="2" t="str">
        <f>HYPERLINK("https://docs.wto.org/imrd/directdoc.asp?DDFDocuments/v/G/SPS/NJPN404.DOC")</f>
        <v>https://docs.wto.org/imrd/directdoc.asp?DDFDocuments/v/G/SPS/NJPN404.DOC</v>
      </c>
      <c r="N1012" s="2" t="str">
        <f>HYPERLINK("http://www.epingalert.org/#/details/G/SPS/N/JPN/404")</f>
        <v>http://www.epingalert.org/#/details/G/SPS/N/JPN/404</v>
      </c>
      <c r="O1012" s="2"/>
    </row>
    <row r="1013" spans="1:15" ht="240" customHeight="1" outlineLevel="1" x14ac:dyDescent="0.25">
      <c r="A1013" s="2" t="s">
        <v>12</v>
      </c>
      <c r="B1013" s="2" t="s">
        <v>7765</v>
      </c>
      <c r="C1013" s="2" t="s">
        <v>7766</v>
      </c>
      <c r="D1013" s="2" t="s">
        <v>7767</v>
      </c>
      <c r="E1013" s="3">
        <v>42096</v>
      </c>
      <c r="F1013" s="2" t="s">
        <v>7768</v>
      </c>
      <c r="G1013" s="2" t="s">
        <v>7769</v>
      </c>
      <c r="H1013" s="2" t="s">
        <v>2425</v>
      </c>
      <c r="I1013" s="2" t="s">
        <v>7039</v>
      </c>
      <c r="J1013" s="2"/>
      <c r="K1013" s="2" t="str">
        <f>HYPERLINK("https://docs.wto.org/imrd/directdoc.asp?DDFDocuments/t/G/SPS/NEU125.DOC")</f>
        <v>https://docs.wto.org/imrd/directdoc.asp?DDFDocuments/t/G/SPS/NEU125.DOC</v>
      </c>
      <c r="L1013" s="2" t="str">
        <f>HYPERLINK("https://docs.wto.org/imrd/directdoc.asp?DDFDocuments/u/G/SPS/NEU125.DOC")</f>
        <v>https://docs.wto.org/imrd/directdoc.asp?DDFDocuments/u/G/SPS/NEU125.DOC</v>
      </c>
      <c r="M1013" s="2" t="str">
        <f>HYPERLINK("https://docs.wto.org/imrd/directdoc.asp?DDFDocuments/v/G/SPS/NEU125.DOC")</f>
        <v>https://docs.wto.org/imrd/directdoc.asp?DDFDocuments/v/G/SPS/NEU125.DOC</v>
      </c>
      <c r="N1013" s="2" t="str">
        <f>HYPERLINK("http://www.epingalert.org/#/details/G/SPS/N/EU/125")</f>
        <v>http://www.epingalert.org/#/details/G/SPS/N/EU/125</v>
      </c>
      <c r="O1013" s="2"/>
    </row>
    <row r="1014" spans="1:15" ht="240" customHeight="1" outlineLevel="1" x14ac:dyDescent="0.25">
      <c r="A1014" s="2" t="s">
        <v>444</v>
      </c>
      <c r="B1014" s="2" t="s">
        <v>4456</v>
      </c>
      <c r="C1014" s="2" t="s">
        <v>4457</v>
      </c>
      <c r="D1014" s="2" t="s">
        <v>4458</v>
      </c>
      <c r="E1014" s="3">
        <v>42095</v>
      </c>
      <c r="F1014" s="2" t="s">
        <v>2523</v>
      </c>
      <c r="G1014" s="2"/>
      <c r="H1014" s="2" t="s">
        <v>2425</v>
      </c>
      <c r="I1014" s="2" t="s">
        <v>2453</v>
      </c>
      <c r="J1014" s="3">
        <v>42155</v>
      </c>
      <c r="K1014" s="2" t="str">
        <f>HYPERLINK("https://docs.wto.org/imrd/directdoc.asp?DDFDocuments/t/G/SPS/NMYS36.DOC")</f>
        <v>https://docs.wto.org/imrd/directdoc.asp?DDFDocuments/t/G/SPS/NMYS36.DOC</v>
      </c>
      <c r="L1014" s="2" t="str">
        <f>HYPERLINK("https://docs.wto.org/imrd/directdoc.asp?DDFDocuments/u/G/SPS/NMYS36.DOC")</f>
        <v>https://docs.wto.org/imrd/directdoc.asp?DDFDocuments/u/G/SPS/NMYS36.DOC</v>
      </c>
      <c r="M1014" s="2" t="str">
        <f>HYPERLINK("https://docs.wto.org/imrd/directdoc.asp?DDFDocuments/v/G/SPS/NMYS36.DOC")</f>
        <v>https://docs.wto.org/imrd/directdoc.asp?DDFDocuments/v/G/SPS/NMYS36.DOC</v>
      </c>
      <c r="N1014" s="2" t="str">
        <f>HYPERLINK("http://www.epingalert.org/#/details/G/SPS/N/MYS/36")</f>
        <v>http://www.epingalert.org/#/details/G/SPS/N/MYS/36</v>
      </c>
      <c r="O1014" s="2"/>
    </row>
    <row r="1015" spans="1:15" ht="240" customHeight="1" outlineLevel="1" x14ac:dyDescent="0.25">
      <c r="A1015" s="2" t="s">
        <v>25</v>
      </c>
      <c r="B1015" s="2" t="s">
        <v>4459</v>
      </c>
      <c r="C1015" s="2" t="s">
        <v>2604</v>
      </c>
      <c r="D1015" s="2" t="s">
        <v>4460</v>
      </c>
      <c r="E1015" s="3">
        <v>42095</v>
      </c>
      <c r="F1015" s="2" t="s">
        <v>2606</v>
      </c>
      <c r="G1015" s="2"/>
      <c r="H1015" s="2" t="s">
        <v>2425</v>
      </c>
      <c r="I1015" s="2" t="s">
        <v>2426</v>
      </c>
      <c r="J1015" s="3">
        <v>42155</v>
      </c>
      <c r="K1015" s="2" t="str">
        <f>HYPERLINK("https://docs.wto.org/imrd/directdoc.asp?DDFDocuments/t/G/SPS/NKOR497.DOC")</f>
        <v>https://docs.wto.org/imrd/directdoc.asp?DDFDocuments/t/G/SPS/NKOR497.DOC</v>
      </c>
      <c r="L1015" s="2" t="str">
        <f>HYPERLINK("https://docs.wto.org/imrd/directdoc.asp?DDFDocuments/u/G/SPS/NKOR497.DOC")</f>
        <v>https://docs.wto.org/imrd/directdoc.asp?DDFDocuments/u/G/SPS/NKOR497.DOC</v>
      </c>
      <c r="M1015" s="2" t="str">
        <f>HYPERLINK("https://docs.wto.org/imrd/directdoc.asp?DDFDocuments/v/G/SPS/NKOR497.DOC")</f>
        <v>https://docs.wto.org/imrd/directdoc.asp?DDFDocuments/v/G/SPS/NKOR497.DOC</v>
      </c>
      <c r="N1015" s="2" t="str">
        <f>HYPERLINK("http://www.epingalert.org/#/details/G/SPS/N/KOR/497")</f>
        <v>http://www.epingalert.org/#/details/G/SPS/N/KOR/497</v>
      </c>
      <c r="O1015" s="2"/>
    </row>
    <row r="1016" spans="1:15" ht="240" customHeight="1" outlineLevel="1" x14ac:dyDescent="0.25">
      <c r="A1016" s="2" t="s">
        <v>1042</v>
      </c>
      <c r="B1016" s="2" t="s">
        <v>7778</v>
      </c>
      <c r="C1016" s="2" t="s">
        <v>7779</v>
      </c>
      <c r="D1016" s="2" t="s">
        <v>7780</v>
      </c>
      <c r="E1016" s="3">
        <v>42095</v>
      </c>
      <c r="F1016" s="2" t="s">
        <v>7781</v>
      </c>
      <c r="G1016" s="2" t="s">
        <v>7782</v>
      </c>
      <c r="H1016" s="2" t="s">
        <v>2425</v>
      </c>
      <c r="I1016" s="2" t="s">
        <v>7783</v>
      </c>
      <c r="J1016" s="3">
        <v>42153</v>
      </c>
      <c r="K1016" s="2" t="str">
        <f>HYPERLINK("https://docs.wto.org/imrd/directdoc.asp?DDFDocuments/t/G/SPS/NPHL277.DOC")</f>
        <v>https://docs.wto.org/imrd/directdoc.asp?DDFDocuments/t/G/SPS/NPHL277.DOC</v>
      </c>
      <c r="L1016" s="2" t="str">
        <f>HYPERLINK("https://docs.wto.org/imrd/directdoc.asp?DDFDocuments/u/G/SPS/NPHL277.DOC")</f>
        <v>https://docs.wto.org/imrd/directdoc.asp?DDFDocuments/u/G/SPS/NPHL277.DOC</v>
      </c>
      <c r="M1016" s="2" t="str">
        <f>HYPERLINK("https://docs.wto.org/imrd/directdoc.asp?DDFDocuments/v/G/SPS/NPHL277.DOC")</f>
        <v>https://docs.wto.org/imrd/directdoc.asp?DDFDocuments/v/G/SPS/NPHL277.DOC</v>
      </c>
      <c r="N1016" s="2" t="str">
        <f>HYPERLINK("http://www.epingalert.org/#/details/G/SPS/N/PHL/277")</f>
        <v>http://www.epingalert.org/#/details/G/SPS/N/PHL/277</v>
      </c>
      <c r="O1016" s="2"/>
    </row>
    <row r="1017" spans="1:15" ht="240" customHeight="1" outlineLevel="1" x14ac:dyDescent="0.25">
      <c r="A1017" s="2" t="s">
        <v>12</v>
      </c>
      <c r="B1017" s="2" t="s">
        <v>4455</v>
      </c>
      <c r="C1017" s="2"/>
      <c r="D1017" s="2"/>
      <c r="E1017" s="3">
        <v>42095</v>
      </c>
      <c r="F1017" s="2" t="s">
        <v>2451</v>
      </c>
      <c r="G1017" s="2"/>
      <c r="H1017" s="2" t="s">
        <v>2425</v>
      </c>
      <c r="I1017" s="2" t="s">
        <v>2444</v>
      </c>
      <c r="J1017" s="2"/>
      <c r="K1017" s="2" t="str">
        <f>HYPERLINK("https://docs.wto.org/imrd/directdoc.asp?DDFDocuments/t/G/SPS/NEU71A1.DOC")</f>
        <v>https://docs.wto.org/imrd/directdoc.asp?DDFDocuments/t/G/SPS/NEU71A1.DOC</v>
      </c>
      <c r="L1017" s="2" t="str">
        <f>HYPERLINK("https://docs.wto.org/imrd/directdoc.asp?DDFDocuments/u/G/SPS/NEU71A1.DOC")</f>
        <v>https://docs.wto.org/imrd/directdoc.asp?DDFDocuments/u/G/SPS/NEU71A1.DOC</v>
      </c>
      <c r="M1017" s="2" t="str">
        <f>HYPERLINK("https://docs.wto.org/imrd/directdoc.asp?DDFDocuments/v/G/SPS/NEU71A1.DOC")</f>
        <v>https://docs.wto.org/imrd/directdoc.asp?DDFDocuments/v/G/SPS/NEU71A1.DOC</v>
      </c>
      <c r="N1017" s="2" t="str">
        <f>HYPERLINK("http://www.epingalert.org/#/details/G/SPS/N/EU/71/Add.1")</f>
        <v>http://www.epingalert.org/#/details/G/SPS/N/EU/71/Add.1</v>
      </c>
      <c r="O1017" s="2"/>
    </row>
    <row r="1018" spans="1:15" ht="240" customHeight="1" outlineLevel="1" x14ac:dyDescent="0.25">
      <c r="A1018" s="2" t="s">
        <v>12</v>
      </c>
      <c r="B1018" s="2" t="s">
        <v>4461</v>
      </c>
      <c r="C1018" s="2" t="s">
        <v>4462</v>
      </c>
      <c r="D1018" s="2" t="s">
        <v>4463</v>
      </c>
      <c r="E1018" s="3">
        <v>42094</v>
      </c>
      <c r="F1018" s="2" t="s">
        <v>2451</v>
      </c>
      <c r="G1018" s="2" t="s">
        <v>4464</v>
      </c>
      <c r="H1018" s="2" t="s">
        <v>2425</v>
      </c>
      <c r="I1018" s="2" t="s">
        <v>2453</v>
      </c>
      <c r="J1018" s="3">
        <v>42154</v>
      </c>
      <c r="K1018" s="2" t="str">
        <f>HYPERLINK("https://docs.wto.org/imrd/directdoc.asp?DDFDocuments/t/G/SPS/NEU124.DOC")</f>
        <v>https://docs.wto.org/imrd/directdoc.asp?DDFDocuments/t/G/SPS/NEU124.DOC</v>
      </c>
      <c r="L1018" s="2" t="str">
        <f>HYPERLINK("https://docs.wto.org/imrd/directdoc.asp?DDFDocuments/u/G/SPS/NEU124.DOC")</f>
        <v>https://docs.wto.org/imrd/directdoc.asp?DDFDocuments/u/G/SPS/NEU124.DOC</v>
      </c>
      <c r="M1018" s="2" t="str">
        <f>HYPERLINK("https://docs.wto.org/imrd/directdoc.asp?DDFDocuments/v/G/SPS/NEU124.DOC")</f>
        <v>https://docs.wto.org/imrd/directdoc.asp?DDFDocuments/v/G/SPS/NEU124.DOC</v>
      </c>
      <c r="N1018" s="2" t="str">
        <f>HYPERLINK("http://www.epingalert.org/#/details/G/SPS/N/EU/124")</f>
        <v>http://www.epingalert.org/#/details/G/SPS/N/EU/124</v>
      </c>
      <c r="O1018" s="2"/>
    </row>
    <row r="1019" spans="1:15" ht="240" customHeight="1" outlineLevel="1" x14ac:dyDescent="0.25">
      <c r="A1019" s="2" t="s">
        <v>18</v>
      </c>
      <c r="B1019" s="2" t="s">
        <v>4465</v>
      </c>
      <c r="C1019" s="2"/>
      <c r="D1019" s="2"/>
      <c r="E1019" s="3">
        <v>42093</v>
      </c>
      <c r="F1019" s="2" t="s">
        <v>2627</v>
      </c>
      <c r="G1019" s="2"/>
      <c r="H1019" s="2" t="s">
        <v>2573</v>
      </c>
      <c r="I1019" s="2" t="s">
        <v>2903</v>
      </c>
      <c r="J1019" s="3">
        <v>42150</v>
      </c>
      <c r="K1019" s="2" t="str">
        <f>HYPERLINK("https://docs.wto.org/imrd/directdoc.asp?DDFDocuments/t/G/SPS/NUSA2156A6.DOC")</f>
        <v>https://docs.wto.org/imrd/directdoc.asp?DDFDocuments/t/G/SPS/NUSA2156A6.DOC</v>
      </c>
      <c r="L1019" s="2" t="str">
        <f>HYPERLINK("https://docs.wto.org/imrd/directdoc.asp?DDFDocuments/u/G/SPS/NUSA2156A6.DOC")</f>
        <v>https://docs.wto.org/imrd/directdoc.asp?DDFDocuments/u/G/SPS/NUSA2156A6.DOC</v>
      </c>
      <c r="M1019" s="2" t="str">
        <f>HYPERLINK("https://docs.wto.org/imrd/directdoc.asp?DDFDocuments/v/G/SPS/NUSA2156A6.DOC")</f>
        <v>https://docs.wto.org/imrd/directdoc.asp?DDFDocuments/v/G/SPS/NUSA2156A6.DOC</v>
      </c>
      <c r="N1019" s="2" t="str">
        <f>HYPERLINK("http://www.epingalert.org/#/details/G/SPS/N/USA/2156/Add.6")</f>
        <v>http://www.epingalert.org/#/details/G/SPS/N/USA/2156/Add.6</v>
      </c>
      <c r="O1019" s="2"/>
    </row>
    <row r="1020" spans="1:15" ht="240" customHeight="1" outlineLevel="1" x14ac:dyDescent="0.25">
      <c r="A1020" s="2" t="s">
        <v>18</v>
      </c>
      <c r="B1020" s="2" t="s">
        <v>4466</v>
      </c>
      <c r="C1020" s="2" t="s">
        <v>4467</v>
      </c>
      <c r="D1020" s="2" t="s">
        <v>4468</v>
      </c>
      <c r="E1020" s="3">
        <v>42093</v>
      </c>
      <c r="F1020" s="2" t="s">
        <v>3212</v>
      </c>
      <c r="G1020" s="2" t="s">
        <v>3213</v>
      </c>
      <c r="H1020" s="2" t="s">
        <v>2425</v>
      </c>
      <c r="I1020" s="2" t="s">
        <v>2535</v>
      </c>
      <c r="J1020" s="2"/>
      <c r="K1020" s="2" t="str">
        <f>HYPERLINK("https://docs.wto.org/imrd/directdoc.asp?DDFDocuments/t/G/SPS/NUSA2749.DOC")</f>
        <v>https://docs.wto.org/imrd/directdoc.asp?DDFDocuments/t/G/SPS/NUSA2749.DOC</v>
      </c>
      <c r="L1020" s="2" t="str">
        <f>HYPERLINK("https://docs.wto.org/imrd/directdoc.asp?DDFDocuments/u/G/SPS/NUSA2749.DOC")</f>
        <v>https://docs.wto.org/imrd/directdoc.asp?DDFDocuments/u/G/SPS/NUSA2749.DOC</v>
      </c>
      <c r="M1020" s="2" t="str">
        <f>HYPERLINK("https://docs.wto.org/imrd/directdoc.asp?DDFDocuments/v/G/SPS/NUSA2749.DOC")</f>
        <v>https://docs.wto.org/imrd/directdoc.asp?DDFDocuments/v/G/SPS/NUSA2749.DOC</v>
      </c>
      <c r="N1020" s="2" t="str">
        <f>HYPERLINK("http://www.epingalert.org/#/details/G/SPS/N/USA/2749")</f>
        <v>http://www.epingalert.org/#/details/G/SPS/N/USA/2749</v>
      </c>
      <c r="O1020" s="2"/>
    </row>
    <row r="1021" spans="1:15" ht="240" customHeight="1" outlineLevel="1" x14ac:dyDescent="0.25">
      <c r="A1021" s="2" t="s">
        <v>12</v>
      </c>
      <c r="B1021" s="2" t="s">
        <v>7784</v>
      </c>
      <c r="C1021" s="2" t="s">
        <v>7785</v>
      </c>
      <c r="D1021" s="2" t="s">
        <v>7786</v>
      </c>
      <c r="E1021" s="3">
        <v>42093</v>
      </c>
      <c r="F1021" s="2" t="s">
        <v>7394</v>
      </c>
      <c r="G1021" s="2" t="s">
        <v>2039</v>
      </c>
      <c r="H1021" s="2" t="s">
        <v>2425</v>
      </c>
      <c r="I1021" s="2" t="s">
        <v>4313</v>
      </c>
      <c r="J1021" s="2"/>
      <c r="K1021" s="2" t="str">
        <f>HYPERLINK("https://docs.wto.org/imrd/directdoc.asp?DDFDocuments/t/G/SPS/NEU123.DOC")</f>
        <v>https://docs.wto.org/imrd/directdoc.asp?DDFDocuments/t/G/SPS/NEU123.DOC</v>
      </c>
      <c r="L1021" s="2" t="str">
        <f>HYPERLINK("https://docs.wto.org/imrd/directdoc.asp?DDFDocuments/u/G/SPS/NEU123.DOC")</f>
        <v>https://docs.wto.org/imrd/directdoc.asp?DDFDocuments/u/G/SPS/NEU123.DOC</v>
      </c>
      <c r="M1021" s="2" t="str">
        <f>HYPERLINK("https://docs.wto.org/imrd/directdoc.asp?DDFDocuments/v/G/SPS/NEU123.DOC")</f>
        <v>https://docs.wto.org/imrd/directdoc.asp?DDFDocuments/v/G/SPS/NEU123.DOC</v>
      </c>
      <c r="N1021" s="2" t="str">
        <f>HYPERLINK("http://www.epingalert.org/#/details/G/SPS/N/EU/123")</f>
        <v>http://www.epingalert.org/#/details/G/SPS/N/EU/123</v>
      </c>
      <c r="O1021" s="2"/>
    </row>
    <row r="1022" spans="1:15" ht="240" customHeight="1" outlineLevel="1" x14ac:dyDescent="0.25">
      <c r="A1022" s="2" t="s">
        <v>18</v>
      </c>
      <c r="B1022" s="2" t="s">
        <v>4469</v>
      </c>
      <c r="C1022" s="2" t="s">
        <v>4467</v>
      </c>
      <c r="D1022" s="2" t="s">
        <v>4470</v>
      </c>
      <c r="E1022" s="3">
        <v>42090</v>
      </c>
      <c r="F1022" s="2" t="s">
        <v>4471</v>
      </c>
      <c r="G1022" s="2" t="s">
        <v>4472</v>
      </c>
      <c r="H1022" s="2" t="s">
        <v>2425</v>
      </c>
      <c r="I1022" s="2" t="s">
        <v>2597</v>
      </c>
      <c r="J1022" s="3">
        <v>42139</v>
      </c>
      <c r="K1022" s="2" t="str">
        <f>HYPERLINK("https://docs.wto.org/imrd/directdoc.asp?DDFDocuments/t/G/SPS/NUSA2748.DOC")</f>
        <v>https://docs.wto.org/imrd/directdoc.asp?DDFDocuments/t/G/SPS/NUSA2748.DOC</v>
      </c>
      <c r="L1022" s="2" t="str">
        <f>HYPERLINK("https://docs.wto.org/imrd/directdoc.asp?DDFDocuments/u/G/SPS/NUSA2748.DOC")</f>
        <v>https://docs.wto.org/imrd/directdoc.asp?DDFDocuments/u/G/SPS/NUSA2748.DOC</v>
      </c>
      <c r="M1022" s="2" t="str">
        <f>HYPERLINK("https://docs.wto.org/imrd/directdoc.asp?DDFDocuments/v/G/SPS/NUSA2748.DOC")</f>
        <v>https://docs.wto.org/imrd/directdoc.asp?DDFDocuments/v/G/SPS/NUSA2748.DOC</v>
      </c>
      <c r="N1022" s="2" t="str">
        <f>HYPERLINK("http://www.epingalert.org/#/details/G/SPS/N/USA/2748")</f>
        <v>http://www.epingalert.org/#/details/G/SPS/N/USA/2748</v>
      </c>
      <c r="O1022" s="2"/>
    </row>
    <row r="1023" spans="1:15" ht="240" customHeight="1" outlineLevel="1" x14ac:dyDescent="0.25">
      <c r="A1023" s="2" t="s">
        <v>18</v>
      </c>
      <c r="B1023" s="2" t="s">
        <v>7789</v>
      </c>
      <c r="C1023" s="2"/>
      <c r="D1023" s="2"/>
      <c r="E1023" s="3">
        <v>42083</v>
      </c>
      <c r="F1023" s="2" t="s">
        <v>7093</v>
      </c>
      <c r="G1023" s="2" t="s">
        <v>7363</v>
      </c>
      <c r="H1023" s="2" t="s">
        <v>2425</v>
      </c>
      <c r="I1023" s="2" t="s">
        <v>2672</v>
      </c>
      <c r="J1023" s="3">
        <v>42150</v>
      </c>
      <c r="K1023" s="2" t="str">
        <f>HYPERLINK("https://docs.wto.org/imrd/directdoc.asp?DDFDocuments/t/G/SPS/NUSA2728A1.DOC")</f>
        <v>https://docs.wto.org/imrd/directdoc.asp?DDFDocuments/t/G/SPS/NUSA2728A1.DOC</v>
      </c>
      <c r="L1023" s="2" t="str">
        <f>HYPERLINK("https://docs.wto.org/imrd/directdoc.asp?DDFDocuments/u/G/SPS/NUSA2728A1.DOC")</f>
        <v>https://docs.wto.org/imrd/directdoc.asp?DDFDocuments/u/G/SPS/NUSA2728A1.DOC</v>
      </c>
      <c r="M1023" s="2" t="str">
        <f>HYPERLINK("https://docs.wto.org/imrd/directdoc.asp?DDFDocuments/v/G/SPS/NUSA2728A1.DOC")</f>
        <v>https://docs.wto.org/imrd/directdoc.asp?DDFDocuments/v/G/SPS/NUSA2728A1.DOC</v>
      </c>
      <c r="N1023" s="2" t="str">
        <f>HYPERLINK("http://www.epingalert.org/#/details/G/SPS/N/USA/2728/Add.1")</f>
        <v>http://www.epingalert.org/#/details/G/SPS/N/USA/2728/Add.1</v>
      </c>
      <c r="O1023" s="2"/>
    </row>
    <row r="1024" spans="1:15" ht="240" customHeight="1" outlineLevel="1" x14ac:dyDescent="0.25">
      <c r="A1024" s="2" t="s">
        <v>128</v>
      </c>
      <c r="B1024" s="2" t="s">
        <v>7790</v>
      </c>
      <c r="C1024" s="2"/>
      <c r="D1024" s="2"/>
      <c r="E1024" s="3">
        <v>42083</v>
      </c>
      <c r="F1024" s="2"/>
      <c r="G1024" s="2" t="s">
        <v>7791</v>
      </c>
      <c r="H1024" s="2" t="s">
        <v>2425</v>
      </c>
      <c r="I1024" s="2" t="s">
        <v>2461</v>
      </c>
      <c r="J1024" s="3">
        <v>42143</v>
      </c>
      <c r="K1024" s="2" t="str">
        <f>HYPERLINK("https://docs.wto.org/imrd/directdoc.asp?DDFDocuments/t/G/SPS/NPER596.DOC")</f>
        <v>https://docs.wto.org/imrd/directdoc.asp?DDFDocuments/t/G/SPS/NPER596.DOC</v>
      </c>
      <c r="L1024" s="2" t="str">
        <f>HYPERLINK("https://docs.wto.org/imrd/directdoc.asp?DDFDocuments/u/G/SPS/NPER596.DOC")</f>
        <v>https://docs.wto.org/imrd/directdoc.asp?DDFDocuments/u/G/SPS/NPER596.DOC</v>
      </c>
      <c r="M1024" s="2" t="str">
        <f>HYPERLINK("https://docs.wto.org/imrd/directdoc.asp?DDFDocuments/v/G/SPS/NPER596.DOC")</f>
        <v>https://docs.wto.org/imrd/directdoc.asp?DDFDocuments/v/G/SPS/NPER596.DOC</v>
      </c>
      <c r="N1024" s="2" t="str">
        <f>HYPERLINK("http://www.epingalert.org/#/details/G/SPS/N/PER/596")</f>
        <v>http://www.epingalert.org/#/details/G/SPS/N/PER/596</v>
      </c>
      <c r="O1024" s="2"/>
    </row>
    <row r="1025" spans="1:15" ht="240" customHeight="1" outlineLevel="1" x14ac:dyDescent="0.25">
      <c r="A1025" s="2" t="s">
        <v>12</v>
      </c>
      <c r="B1025" s="2" t="s">
        <v>4473</v>
      </c>
      <c r="C1025" s="2"/>
      <c r="D1025" s="2"/>
      <c r="E1025" s="3">
        <v>42083</v>
      </c>
      <c r="F1025" s="2" t="s">
        <v>4474</v>
      </c>
      <c r="G1025" s="2" t="s">
        <v>4475</v>
      </c>
      <c r="H1025" s="2" t="s">
        <v>2654</v>
      </c>
      <c r="I1025" s="2" t="s">
        <v>2891</v>
      </c>
      <c r="J1025" s="2"/>
      <c r="K1025" s="2" t="str">
        <f>HYPERLINK("https://docs.wto.org/imrd/directdoc.asp?DDFDocuments/t/G/SPS/NEEC364A1.DOC")</f>
        <v>https://docs.wto.org/imrd/directdoc.asp?DDFDocuments/t/G/SPS/NEEC364A1.DOC</v>
      </c>
      <c r="L1025" s="2" t="str">
        <f>HYPERLINK("https://docs.wto.org/imrd/directdoc.asp?DDFDocuments/u/G/SPS/NEEC364A1.DOC")</f>
        <v>https://docs.wto.org/imrd/directdoc.asp?DDFDocuments/u/G/SPS/NEEC364A1.DOC</v>
      </c>
      <c r="M1025" s="2" t="str">
        <f>HYPERLINK("https://docs.wto.org/imrd/directdoc.asp?DDFDocuments/v/G/SPS/NEEC364A1.DOC")</f>
        <v>https://docs.wto.org/imrd/directdoc.asp?DDFDocuments/v/G/SPS/NEEC364A1.DOC</v>
      </c>
      <c r="N1025" s="2" t="str">
        <f>HYPERLINK("http://www.epingalert.org/#/details/G/SPS/N/EEC/364/Add.1")</f>
        <v>http://www.epingalert.org/#/details/G/SPS/N/EEC/364/Add.1</v>
      </c>
      <c r="O1025" s="2"/>
    </row>
    <row r="1026" spans="1:15" ht="240" customHeight="1" outlineLevel="1" x14ac:dyDescent="0.25">
      <c r="A1026" s="2" t="s">
        <v>18</v>
      </c>
      <c r="B1026" s="2" t="s">
        <v>4476</v>
      </c>
      <c r="C1026" s="2"/>
      <c r="D1026" s="2"/>
      <c r="E1026" s="3">
        <v>42083</v>
      </c>
      <c r="F1026" s="2" t="s">
        <v>2816</v>
      </c>
      <c r="G1026" s="2"/>
      <c r="H1026" s="2" t="s">
        <v>2425</v>
      </c>
      <c r="I1026" s="2" t="s">
        <v>2444</v>
      </c>
      <c r="J1026" s="2"/>
      <c r="K1026" s="2" t="str">
        <f>HYPERLINK("https://docs.wto.org/imrd/directdoc.asp?DDFDocuments/t/G/SPS/NUSA2721A1.DOC")</f>
        <v>https://docs.wto.org/imrd/directdoc.asp?DDFDocuments/t/G/SPS/NUSA2721A1.DOC</v>
      </c>
      <c r="L1026" s="2" t="str">
        <f>HYPERLINK("https://docs.wto.org/imrd/directdoc.asp?DDFDocuments/u/G/SPS/NUSA2721A1.DOC")</f>
        <v>https://docs.wto.org/imrd/directdoc.asp?DDFDocuments/u/G/SPS/NUSA2721A1.DOC</v>
      </c>
      <c r="M1026" s="2" t="str">
        <f>HYPERLINK("https://docs.wto.org/imrd/directdoc.asp?DDFDocuments/v/G/SPS/NUSA2721A1.DOC")</f>
        <v>https://docs.wto.org/imrd/directdoc.asp?DDFDocuments/v/G/SPS/NUSA2721A1.DOC</v>
      </c>
      <c r="N1026" s="2" t="str">
        <f>HYPERLINK("http://www.epingalert.org/#/details/G/SPS/N/USA/2721/Add.1")</f>
        <v>http://www.epingalert.org/#/details/G/SPS/N/USA/2721/Add.1</v>
      </c>
      <c r="O1026" s="2"/>
    </row>
    <row r="1027" spans="1:15" ht="240" customHeight="1" outlineLevel="1" x14ac:dyDescent="0.25">
      <c r="A1027" s="2" t="s">
        <v>18</v>
      </c>
      <c r="B1027" s="2" t="s">
        <v>7787</v>
      </c>
      <c r="C1027" s="2"/>
      <c r="D1027" s="2"/>
      <c r="E1027" s="3">
        <v>42083</v>
      </c>
      <c r="F1027" s="2" t="s">
        <v>7788</v>
      </c>
      <c r="G1027" s="2" t="s">
        <v>6781</v>
      </c>
      <c r="H1027" s="2" t="s">
        <v>2425</v>
      </c>
      <c r="I1027" s="2" t="s">
        <v>2444</v>
      </c>
      <c r="J1027" s="2"/>
      <c r="K1027" s="2" t="str">
        <f>HYPERLINK("https://docs.wto.org/imrd/directdoc.asp?DDFDocuments/t/G/SPS/NUSA2484A2.DOC")</f>
        <v>https://docs.wto.org/imrd/directdoc.asp?DDFDocuments/t/G/SPS/NUSA2484A2.DOC</v>
      </c>
      <c r="L1027" s="2" t="str">
        <f>HYPERLINK("https://docs.wto.org/imrd/directdoc.asp?DDFDocuments/u/G/SPS/NUSA2484A2.DOC")</f>
        <v>https://docs.wto.org/imrd/directdoc.asp?DDFDocuments/u/G/SPS/NUSA2484A2.DOC</v>
      </c>
      <c r="M1027" s="2" t="str">
        <f>HYPERLINK("https://docs.wto.org/imrd/directdoc.asp?DDFDocuments/v/G/SPS/NUSA2484A2.DOC")</f>
        <v>https://docs.wto.org/imrd/directdoc.asp?DDFDocuments/v/G/SPS/NUSA2484A2.DOC</v>
      </c>
      <c r="N1027" s="2" t="str">
        <f>HYPERLINK("http://www.epingalert.org/#/details/G/SPS/N/USA/2484/Add.2")</f>
        <v>http://www.epingalert.org/#/details/G/SPS/N/USA/2484/Add.2</v>
      </c>
      <c r="O1027" s="2"/>
    </row>
    <row r="1028" spans="1:15" ht="240" customHeight="1" outlineLevel="1" x14ac:dyDescent="0.25">
      <c r="A1028" s="2" t="s">
        <v>2544</v>
      </c>
      <c r="B1028" s="2" t="s">
        <v>7792</v>
      </c>
      <c r="C1028" s="2"/>
      <c r="D1028" s="2"/>
      <c r="E1028" s="3">
        <v>42082</v>
      </c>
      <c r="F1028" s="2"/>
      <c r="G1028" s="2" t="s">
        <v>7793</v>
      </c>
      <c r="H1028" s="2" t="s">
        <v>2467</v>
      </c>
      <c r="I1028" s="2" t="s">
        <v>2713</v>
      </c>
      <c r="J1028" s="3">
        <v>42142</v>
      </c>
      <c r="K1028" s="2" t="str">
        <f>HYPERLINK("https://docs.wto.org/imrd/directdoc.asp?DDFDocuments/t/G/SPS/NCHL501.DOC")</f>
        <v>https://docs.wto.org/imrd/directdoc.asp?DDFDocuments/t/G/SPS/NCHL501.DOC</v>
      </c>
      <c r="L1028" s="2" t="str">
        <f>HYPERLINK("https://docs.wto.org/imrd/directdoc.asp?DDFDocuments/u/G/SPS/NCHL501.DOC")</f>
        <v>https://docs.wto.org/imrd/directdoc.asp?DDFDocuments/u/G/SPS/NCHL501.DOC</v>
      </c>
      <c r="M1028" s="2" t="str">
        <f>HYPERLINK("https://docs.wto.org/imrd/directdoc.asp?DDFDocuments/v/G/SPS/NCHL501.DOC")</f>
        <v>https://docs.wto.org/imrd/directdoc.asp?DDFDocuments/v/G/SPS/NCHL501.DOC</v>
      </c>
      <c r="N1028" s="2" t="str">
        <f>HYPERLINK("http://www.epingalert.org/#/details/G/SPS/N/CHL/501")</f>
        <v>http://www.epingalert.org/#/details/G/SPS/N/CHL/501</v>
      </c>
      <c r="O1028" s="2"/>
    </row>
    <row r="1029" spans="1:15" ht="240" customHeight="1" outlineLevel="1" x14ac:dyDescent="0.25">
      <c r="A1029" s="2" t="s">
        <v>37</v>
      </c>
      <c r="B1029" s="2" t="s">
        <v>7794</v>
      </c>
      <c r="C1029" s="2"/>
      <c r="D1029" s="2"/>
      <c r="E1029" s="3">
        <v>42081</v>
      </c>
      <c r="F1029" s="2" t="s">
        <v>6717</v>
      </c>
      <c r="G1029" s="2" t="s">
        <v>2039</v>
      </c>
      <c r="H1029" s="2" t="s">
        <v>2648</v>
      </c>
      <c r="I1029" s="2" t="s">
        <v>7795</v>
      </c>
      <c r="J1029" s="3">
        <v>42141</v>
      </c>
      <c r="K1029" s="2" t="str">
        <f>HYPERLINK("https://docs.wto.org/imrd/directdoc.asp?DDFDocuments/t/G/SPS/NTUR22A1.DOC")</f>
        <v>https://docs.wto.org/imrd/directdoc.asp?DDFDocuments/t/G/SPS/NTUR22A1.DOC</v>
      </c>
      <c r="L1029" s="2" t="str">
        <f>HYPERLINK("https://docs.wto.org/imrd/directdoc.asp?DDFDocuments/u/G/SPS/NTUR22A1.DOC")</f>
        <v>https://docs.wto.org/imrd/directdoc.asp?DDFDocuments/u/G/SPS/NTUR22A1.DOC</v>
      </c>
      <c r="M1029" s="2" t="str">
        <f>HYPERLINK("https://docs.wto.org/imrd/directdoc.asp?DDFDocuments/v/G/SPS/NTUR22A1.DOC")</f>
        <v>https://docs.wto.org/imrd/directdoc.asp?DDFDocuments/v/G/SPS/NTUR22A1.DOC</v>
      </c>
      <c r="N1029" s="2" t="str">
        <f>HYPERLINK("http://www.epingalert.org/#/details/G/SPS/N/TUR/22/Add.1")</f>
        <v>http://www.epingalert.org/#/details/G/SPS/N/TUR/22/Add.1</v>
      </c>
      <c r="O1029" s="2"/>
    </row>
    <row r="1030" spans="1:15" ht="240" customHeight="1" outlineLevel="1" x14ac:dyDescent="0.25">
      <c r="A1030" s="2" t="s">
        <v>444</v>
      </c>
      <c r="B1030" s="2" t="s">
        <v>4480</v>
      </c>
      <c r="C1030" s="2" t="s">
        <v>4481</v>
      </c>
      <c r="D1030" s="2" t="s">
        <v>4482</v>
      </c>
      <c r="E1030" s="3">
        <v>42080</v>
      </c>
      <c r="F1030" s="2" t="s">
        <v>2523</v>
      </c>
      <c r="G1030" s="2" t="s">
        <v>4483</v>
      </c>
      <c r="H1030" s="2" t="s">
        <v>2425</v>
      </c>
      <c r="I1030" s="2" t="s">
        <v>2535</v>
      </c>
      <c r="J1030" s="3">
        <v>42140</v>
      </c>
      <c r="K1030" s="2" t="str">
        <f>HYPERLINK("https://docs.wto.org/imrd/directdoc.asp?DDFDocuments/t/G/SPS/NMYS34.DOC")</f>
        <v>https://docs.wto.org/imrd/directdoc.asp?DDFDocuments/t/G/SPS/NMYS34.DOC</v>
      </c>
      <c r="L1030" s="2" t="str">
        <f>HYPERLINK("https://docs.wto.org/imrd/directdoc.asp?DDFDocuments/u/G/SPS/NMYS34.DOC")</f>
        <v>https://docs.wto.org/imrd/directdoc.asp?DDFDocuments/u/G/SPS/NMYS34.DOC</v>
      </c>
      <c r="M1030" s="2" t="str">
        <f>HYPERLINK("https://docs.wto.org/imrd/directdoc.asp?DDFDocuments/v/G/SPS/NMYS34.DOC")</f>
        <v>https://docs.wto.org/imrd/directdoc.asp?DDFDocuments/v/G/SPS/NMYS34.DOC</v>
      </c>
      <c r="N1030" s="2" t="str">
        <f>HYPERLINK("http://www.epingalert.org/#/details/G/SPS/N/MYS/34")</f>
        <v>http://www.epingalert.org/#/details/G/SPS/N/MYS/34</v>
      </c>
      <c r="O1030" s="2"/>
    </row>
    <row r="1031" spans="1:15" ht="240" customHeight="1" outlineLevel="1" x14ac:dyDescent="0.25">
      <c r="A1031" s="2" t="s">
        <v>1908</v>
      </c>
      <c r="B1031" s="2" t="s">
        <v>4477</v>
      </c>
      <c r="C1031" s="2"/>
      <c r="D1031" s="2"/>
      <c r="E1031" s="3">
        <v>42080</v>
      </c>
      <c r="F1031" s="2" t="s">
        <v>4478</v>
      </c>
      <c r="G1031" s="2"/>
      <c r="H1031" s="2" t="s">
        <v>2425</v>
      </c>
      <c r="I1031" s="2" t="s">
        <v>4479</v>
      </c>
      <c r="J1031" s="2"/>
      <c r="K1031" s="2" t="str">
        <f>HYPERLINK("https://docs.wto.org/imrd/directdoc.asp?DDFDocuments/t/G/SPS/NCAN906A1.DOC")</f>
        <v>https://docs.wto.org/imrd/directdoc.asp?DDFDocuments/t/G/SPS/NCAN906A1.DOC</v>
      </c>
      <c r="L1031" s="2" t="str">
        <f>HYPERLINK("https://docs.wto.org/imrd/directdoc.asp?DDFDocuments/u/G/SPS/NCAN906A1.DOC")</f>
        <v>https://docs.wto.org/imrd/directdoc.asp?DDFDocuments/u/G/SPS/NCAN906A1.DOC</v>
      </c>
      <c r="M1031" s="2" t="str">
        <f>HYPERLINK("https://docs.wto.org/imrd/directdoc.asp?DDFDocuments/v/G/SPS/NCAN906A1.DOC")</f>
        <v>https://docs.wto.org/imrd/directdoc.asp?DDFDocuments/v/G/SPS/NCAN906A1.DOC</v>
      </c>
      <c r="N1031" s="2" t="str">
        <f>HYPERLINK("http://www.epingalert.org/#/details/G/SPS/N/CAN/906/Add.1")</f>
        <v>http://www.epingalert.org/#/details/G/SPS/N/CAN/906/Add.1</v>
      </c>
      <c r="O1031" s="2"/>
    </row>
    <row r="1032" spans="1:15" ht="240" customHeight="1" outlineLevel="1" x14ac:dyDescent="0.25">
      <c r="A1032" s="2" t="s">
        <v>31</v>
      </c>
      <c r="B1032" s="2" t="s">
        <v>4488</v>
      </c>
      <c r="C1032" s="2" t="s">
        <v>4489</v>
      </c>
      <c r="D1032" s="2" t="s">
        <v>4490</v>
      </c>
      <c r="E1032" s="3">
        <v>42079</v>
      </c>
      <c r="F1032" s="2" t="s">
        <v>2476</v>
      </c>
      <c r="G1032" s="2" t="s">
        <v>2381</v>
      </c>
      <c r="H1032" s="2" t="s">
        <v>2425</v>
      </c>
      <c r="I1032" s="2" t="s">
        <v>4491</v>
      </c>
      <c r="J1032" s="3">
        <v>42139</v>
      </c>
      <c r="K1032" s="2" t="str">
        <f>HYPERLINK("https://docs.wto.org/imrd/directdoc.asp?DDFDocuments/t/G/SPS/NTHA228.DOC")</f>
        <v>https://docs.wto.org/imrd/directdoc.asp?DDFDocuments/t/G/SPS/NTHA228.DOC</v>
      </c>
      <c r="L1032" s="2" t="str">
        <f>HYPERLINK("https://docs.wto.org/imrd/directdoc.asp?DDFDocuments/u/G/SPS/NTHA228.DOC")</f>
        <v>https://docs.wto.org/imrd/directdoc.asp?DDFDocuments/u/G/SPS/NTHA228.DOC</v>
      </c>
      <c r="M1032" s="2" t="str">
        <f>HYPERLINK("https://docs.wto.org/imrd/directdoc.asp?DDFDocuments/v/G/SPS/NTHA228.DOC")</f>
        <v>https://docs.wto.org/imrd/directdoc.asp?DDFDocuments/v/G/SPS/NTHA228.DOC</v>
      </c>
      <c r="N1032" s="2" t="str">
        <f>HYPERLINK("http://www.epingalert.org/#/details/G/SPS/N/THA/228")</f>
        <v>http://www.epingalert.org/#/details/G/SPS/N/THA/228</v>
      </c>
      <c r="O1032" s="2"/>
    </row>
    <row r="1033" spans="1:15" ht="240" customHeight="1" outlineLevel="1" x14ac:dyDescent="0.25">
      <c r="A1033" s="2" t="s">
        <v>121</v>
      </c>
      <c r="B1033" s="2" t="s">
        <v>7796</v>
      </c>
      <c r="C1033" s="2" t="s">
        <v>7797</v>
      </c>
      <c r="D1033" s="2" t="s">
        <v>7798</v>
      </c>
      <c r="E1033" s="3">
        <v>42079</v>
      </c>
      <c r="F1033" s="2" t="s">
        <v>7007</v>
      </c>
      <c r="G1033" s="2" t="s">
        <v>6227</v>
      </c>
      <c r="H1033" s="2" t="s">
        <v>2454</v>
      </c>
      <c r="I1033" s="2" t="s">
        <v>7799</v>
      </c>
      <c r="J1033" s="3">
        <v>42139</v>
      </c>
      <c r="K1033" s="2" t="str">
        <f>HYPERLINK("https://docs.wto.org/imrd/directdoc.asp?DDFDocuments/t/G/SPS/NIND98.DOC")</f>
        <v>https://docs.wto.org/imrd/directdoc.asp?DDFDocuments/t/G/SPS/NIND98.DOC</v>
      </c>
      <c r="L1033" s="2" t="str">
        <f>HYPERLINK("https://docs.wto.org/imrd/directdoc.asp?DDFDocuments/u/G/SPS/NIND98.DOC")</f>
        <v>https://docs.wto.org/imrd/directdoc.asp?DDFDocuments/u/G/SPS/NIND98.DOC</v>
      </c>
      <c r="M1033" s="2" t="str">
        <f>HYPERLINK("https://docs.wto.org/imrd/directdoc.asp?DDFDocuments/v/G/SPS/NIND98.DOC")</f>
        <v>https://docs.wto.org/imrd/directdoc.asp?DDFDocuments/v/G/SPS/NIND98.DOC</v>
      </c>
      <c r="N1033" s="2" t="str">
        <f>HYPERLINK("http://www.epingalert.org/#/details/G/SPS/N/IND/98")</f>
        <v>http://www.epingalert.org/#/details/G/SPS/N/IND/98</v>
      </c>
      <c r="O1033" s="2"/>
    </row>
    <row r="1034" spans="1:15" ht="240" customHeight="1" outlineLevel="1" x14ac:dyDescent="0.25">
      <c r="A1034" s="2" t="s">
        <v>12</v>
      </c>
      <c r="B1034" s="2" t="s">
        <v>4484</v>
      </c>
      <c r="C1034" s="2" t="s">
        <v>4485</v>
      </c>
      <c r="D1034" s="2" t="s">
        <v>4486</v>
      </c>
      <c r="E1034" s="3">
        <v>42079</v>
      </c>
      <c r="F1034" s="2" t="s">
        <v>4487</v>
      </c>
      <c r="G1034" s="2"/>
      <c r="H1034" s="2" t="s">
        <v>2573</v>
      </c>
      <c r="I1034" s="2" t="s">
        <v>2461</v>
      </c>
      <c r="J1034" s="2"/>
      <c r="K1034" s="2" t="str">
        <f>HYPERLINK("https://docs.wto.org/imrd/directdoc.asp?DDFDocuments/t/G/SPS/NEU122.DOC")</f>
        <v>https://docs.wto.org/imrd/directdoc.asp?DDFDocuments/t/G/SPS/NEU122.DOC</v>
      </c>
      <c r="L1034" s="2" t="str">
        <f>HYPERLINK("https://docs.wto.org/imrd/directdoc.asp?DDFDocuments/u/G/SPS/NEU122.DOC")</f>
        <v>https://docs.wto.org/imrd/directdoc.asp?DDFDocuments/u/G/SPS/NEU122.DOC</v>
      </c>
      <c r="M1034" s="2" t="str">
        <f>HYPERLINK("https://docs.wto.org/imrd/directdoc.asp?DDFDocuments/v/G/SPS/NEU122.DOC")</f>
        <v>https://docs.wto.org/imrd/directdoc.asp?DDFDocuments/v/G/SPS/NEU122.DOC</v>
      </c>
      <c r="N1034" s="2" t="str">
        <f>HYPERLINK("http://www.epingalert.org/#/details/G/SPS/N/EU/122")</f>
        <v>http://www.epingalert.org/#/details/G/SPS/N/EU/122</v>
      </c>
      <c r="O1034" s="2"/>
    </row>
    <row r="1035" spans="1:15" ht="240" customHeight="1" outlineLevel="1" x14ac:dyDescent="0.25">
      <c r="A1035" s="2" t="s">
        <v>225</v>
      </c>
      <c r="B1035" s="2" t="s">
        <v>4501</v>
      </c>
      <c r="C1035" s="2" t="s">
        <v>4502</v>
      </c>
      <c r="D1035" s="2" t="s">
        <v>2494</v>
      </c>
      <c r="E1035" s="3">
        <v>42076</v>
      </c>
      <c r="F1035" s="2" t="s">
        <v>2430</v>
      </c>
      <c r="G1035" s="2"/>
      <c r="H1035" s="2" t="s">
        <v>2425</v>
      </c>
      <c r="I1035" s="2" t="s">
        <v>2431</v>
      </c>
      <c r="J1035" s="3">
        <v>42143</v>
      </c>
      <c r="K1035" s="2" t="str">
        <f>HYPERLINK("https://docs.wto.org/imrd/directdoc.asp?DDFDocuments/t/G/SPS/NAUS355.DOC")</f>
        <v>https://docs.wto.org/imrd/directdoc.asp?DDFDocuments/t/G/SPS/NAUS355.DOC</v>
      </c>
      <c r="L1035" s="2" t="str">
        <f>HYPERLINK("https://docs.wto.org/imrd/directdoc.asp?DDFDocuments/u/G/SPS/NAUS355.DOC")</f>
        <v>https://docs.wto.org/imrd/directdoc.asp?DDFDocuments/u/G/SPS/NAUS355.DOC</v>
      </c>
      <c r="M1035" s="2" t="str">
        <f>HYPERLINK("https://docs.wto.org/imrd/directdoc.asp?DDFDocuments/v/G/SPS/NAUS355.DOC")</f>
        <v>https://docs.wto.org/imrd/directdoc.asp?DDFDocuments/v/G/SPS/NAUS355.DOC</v>
      </c>
      <c r="N1035" s="2" t="str">
        <f>HYPERLINK("http://www.epingalert.org/#/details/G/SPS/N/AUS/355")</f>
        <v>http://www.epingalert.org/#/details/G/SPS/N/AUS/355</v>
      </c>
      <c r="O1035" s="2"/>
    </row>
    <row r="1036" spans="1:15" ht="240" customHeight="1" outlineLevel="1" x14ac:dyDescent="0.25">
      <c r="A1036" s="2" t="s">
        <v>121</v>
      </c>
      <c r="B1036" s="2" t="s">
        <v>4492</v>
      </c>
      <c r="C1036" s="2" t="s">
        <v>4493</v>
      </c>
      <c r="D1036" s="2" t="s">
        <v>4494</v>
      </c>
      <c r="E1036" s="3">
        <v>42076</v>
      </c>
      <c r="F1036" s="2" t="s">
        <v>4495</v>
      </c>
      <c r="G1036" s="2"/>
      <c r="H1036" s="2" t="s">
        <v>2425</v>
      </c>
      <c r="I1036" s="2" t="s">
        <v>4496</v>
      </c>
      <c r="J1036" s="3">
        <v>42136</v>
      </c>
      <c r="K1036" s="2" t="str">
        <f>HYPERLINK("https://docs.wto.org/imrd/directdoc.asp?DDFDocuments/t/G/SPS/NIND97.DOC")</f>
        <v>https://docs.wto.org/imrd/directdoc.asp?DDFDocuments/t/G/SPS/NIND97.DOC</v>
      </c>
      <c r="L1036" s="2" t="str">
        <f>HYPERLINK("https://docs.wto.org/imrd/directdoc.asp?DDFDocuments/u/G/SPS/NIND97.DOC")</f>
        <v>https://docs.wto.org/imrd/directdoc.asp?DDFDocuments/u/G/SPS/NIND97.DOC</v>
      </c>
      <c r="M1036" s="2" t="str">
        <f>HYPERLINK("https://docs.wto.org/imrd/directdoc.asp?DDFDocuments/v/G/SPS/NIND97.DOC")</f>
        <v>https://docs.wto.org/imrd/directdoc.asp?DDFDocuments/v/G/SPS/NIND97.DOC</v>
      </c>
      <c r="N1036" s="2" t="str">
        <f>HYPERLINK("http://www.epingalert.org/#/details/G/SPS/N/IND/97")</f>
        <v>http://www.epingalert.org/#/details/G/SPS/N/IND/97</v>
      </c>
      <c r="O1036" s="2"/>
    </row>
    <row r="1037" spans="1:15" ht="240" customHeight="1" outlineLevel="1" x14ac:dyDescent="0.25">
      <c r="A1037" s="2" t="s">
        <v>42</v>
      </c>
      <c r="B1037" s="2" t="s">
        <v>4497</v>
      </c>
      <c r="C1037" s="2" t="s">
        <v>4498</v>
      </c>
      <c r="D1037" s="2" t="s">
        <v>4499</v>
      </c>
      <c r="E1037" s="3">
        <v>42076</v>
      </c>
      <c r="F1037" s="2" t="s">
        <v>4500</v>
      </c>
      <c r="G1037" s="2"/>
      <c r="H1037" s="2" t="s">
        <v>2425</v>
      </c>
      <c r="I1037" s="2" t="s">
        <v>2453</v>
      </c>
      <c r="J1037" s="3">
        <v>42081</v>
      </c>
      <c r="K1037" s="2" t="str">
        <f>HYPERLINK("https://docs.wto.org/imrd/directdoc.asp?DDFDocuments/t/G/SPS/NBRA1020.DOC")</f>
        <v>https://docs.wto.org/imrd/directdoc.asp?DDFDocuments/t/G/SPS/NBRA1020.DOC</v>
      </c>
      <c r="L1037" s="2" t="str">
        <f>HYPERLINK("https://docs.wto.org/imrd/directdoc.asp?DDFDocuments/u/G/SPS/NBRA1020.DOC")</f>
        <v>https://docs.wto.org/imrd/directdoc.asp?DDFDocuments/u/G/SPS/NBRA1020.DOC</v>
      </c>
      <c r="M1037" s="2" t="str">
        <f>HYPERLINK("https://docs.wto.org/imrd/directdoc.asp?DDFDocuments/v/G/SPS/NBRA1020.DOC")</f>
        <v>https://docs.wto.org/imrd/directdoc.asp?DDFDocuments/v/G/SPS/NBRA1020.DOC</v>
      </c>
      <c r="N1037" s="2" t="str">
        <f>HYPERLINK("http://www.epingalert.org/#/details/G/SPS/N/BRA/1020")</f>
        <v>http://www.epingalert.org/#/details/G/SPS/N/BRA/1020</v>
      </c>
      <c r="O1037" s="2"/>
    </row>
    <row r="1038" spans="1:15" ht="240" customHeight="1" outlineLevel="1" x14ac:dyDescent="0.25">
      <c r="A1038" s="2" t="s">
        <v>25</v>
      </c>
      <c r="B1038" s="2" t="s">
        <v>4503</v>
      </c>
      <c r="C1038" s="2" t="s">
        <v>4504</v>
      </c>
      <c r="D1038" s="2" t="s">
        <v>4505</v>
      </c>
      <c r="E1038" s="3">
        <v>42075</v>
      </c>
      <c r="F1038" s="2" t="s">
        <v>4506</v>
      </c>
      <c r="G1038" s="2"/>
      <c r="H1038" s="2" t="s">
        <v>2425</v>
      </c>
      <c r="I1038" s="2" t="s">
        <v>2461</v>
      </c>
      <c r="J1038" s="3">
        <v>42108</v>
      </c>
      <c r="K1038" s="2" t="str">
        <f>HYPERLINK("https://docs.wto.org/imrd/directdoc.asp?DDFDocuments/t/G/SPS/NKOR496.DOC")</f>
        <v>https://docs.wto.org/imrd/directdoc.asp?DDFDocuments/t/G/SPS/NKOR496.DOC</v>
      </c>
      <c r="L1038" s="2" t="str">
        <f>HYPERLINK("https://docs.wto.org/imrd/directdoc.asp?DDFDocuments/u/G/SPS/NKOR496.DOC")</f>
        <v>https://docs.wto.org/imrd/directdoc.asp?DDFDocuments/u/G/SPS/NKOR496.DOC</v>
      </c>
      <c r="M1038" s="2" t="str">
        <f>HYPERLINK("https://docs.wto.org/imrd/directdoc.asp?DDFDocuments/v/G/SPS/NKOR496.DOC")</f>
        <v>https://docs.wto.org/imrd/directdoc.asp?DDFDocuments/v/G/SPS/NKOR496.DOC</v>
      </c>
      <c r="N1038" s="2" t="str">
        <f>HYPERLINK("http://www.epingalert.org/#/details/G/SPS/N/KOR/496")</f>
        <v>http://www.epingalert.org/#/details/G/SPS/N/KOR/496</v>
      </c>
      <c r="O1038" s="2"/>
    </row>
    <row r="1039" spans="1:15" ht="240" customHeight="1" outlineLevel="1" x14ac:dyDescent="0.25">
      <c r="A1039" s="2" t="s">
        <v>77</v>
      </c>
      <c r="B1039" s="2" t="s">
        <v>4507</v>
      </c>
      <c r="C1039" s="2" t="s">
        <v>4508</v>
      </c>
      <c r="D1039" s="2" t="s">
        <v>4509</v>
      </c>
      <c r="E1039" s="3">
        <v>42072</v>
      </c>
      <c r="F1039" s="2" t="s">
        <v>2435</v>
      </c>
      <c r="G1039" s="2"/>
      <c r="H1039" s="2" t="s">
        <v>2425</v>
      </c>
      <c r="I1039" s="2" t="s">
        <v>2426</v>
      </c>
      <c r="J1039" s="3">
        <v>42132</v>
      </c>
      <c r="K1039" s="2" t="str">
        <f>HYPERLINK("https://docs.wto.org/imrd/directdoc.asp?DDFDocuments/t/G/SPS/NTPKM351.DOC")</f>
        <v>https://docs.wto.org/imrd/directdoc.asp?DDFDocuments/t/G/SPS/NTPKM351.DOC</v>
      </c>
      <c r="L1039" s="2" t="str">
        <f>HYPERLINK("https://docs.wto.org/imrd/directdoc.asp?DDFDocuments/u/G/SPS/NTPKM351.DOC")</f>
        <v>https://docs.wto.org/imrd/directdoc.asp?DDFDocuments/u/G/SPS/NTPKM351.DOC</v>
      </c>
      <c r="M1039" s="2" t="str">
        <f>HYPERLINK("https://docs.wto.org/imrd/directdoc.asp?DDFDocuments/v/G/SPS/NTPKM351.DOC")</f>
        <v>https://docs.wto.org/imrd/directdoc.asp?DDFDocuments/v/G/SPS/NTPKM351.DOC</v>
      </c>
      <c r="N1039" s="2" t="str">
        <f>HYPERLINK("http://www.epingalert.org/#/details/G/SPS/N/TPKM/351")</f>
        <v>http://www.epingalert.org/#/details/G/SPS/N/TPKM/351</v>
      </c>
      <c r="O1039" s="2"/>
    </row>
    <row r="1040" spans="1:15" ht="240" customHeight="1" outlineLevel="1" x14ac:dyDescent="0.25">
      <c r="A1040" s="2" t="s">
        <v>37</v>
      </c>
      <c r="B1040" s="2" t="s">
        <v>7802</v>
      </c>
      <c r="C1040" s="2" t="s">
        <v>7803</v>
      </c>
      <c r="D1040" s="2" t="s">
        <v>7804</v>
      </c>
      <c r="E1040" s="3">
        <v>42072</v>
      </c>
      <c r="F1040" s="2" t="s">
        <v>7007</v>
      </c>
      <c r="G1040" s="2" t="s">
        <v>7805</v>
      </c>
      <c r="H1040" s="2" t="s">
        <v>2425</v>
      </c>
      <c r="I1040" s="2" t="s">
        <v>4293</v>
      </c>
      <c r="J1040" s="3">
        <v>42132</v>
      </c>
      <c r="K1040" s="2" t="str">
        <f>HYPERLINK("https://docs.wto.org/imrd/directdoc.asp?DDFDocuments/t/G/SPS/NTUR56.DOC")</f>
        <v>https://docs.wto.org/imrd/directdoc.asp?DDFDocuments/t/G/SPS/NTUR56.DOC</v>
      </c>
      <c r="L1040" s="2" t="str">
        <f>HYPERLINK("https://docs.wto.org/imrd/directdoc.asp?DDFDocuments/u/G/SPS/NTUR56.DOC")</f>
        <v>https://docs.wto.org/imrd/directdoc.asp?DDFDocuments/u/G/SPS/NTUR56.DOC</v>
      </c>
      <c r="M1040" s="2" t="str">
        <f>HYPERLINK("https://docs.wto.org/imrd/directdoc.asp?DDFDocuments/v/G/SPS/NTUR56.DOC")</f>
        <v>https://docs.wto.org/imrd/directdoc.asp?DDFDocuments/v/G/SPS/NTUR56.DOC</v>
      </c>
      <c r="N1040" s="2" t="str">
        <f>HYPERLINK("http://www.epingalert.org/#/details/G/SPS/N/TUR/56")</f>
        <v>http://www.epingalert.org/#/details/G/SPS/N/TUR/56</v>
      </c>
      <c r="O1040" s="2"/>
    </row>
    <row r="1041" spans="1:15" ht="240" customHeight="1" outlineLevel="1" x14ac:dyDescent="0.25">
      <c r="A1041" s="2" t="s">
        <v>18</v>
      </c>
      <c r="B1041" s="2" t="s">
        <v>7800</v>
      </c>
      <c r="C1041" s="2"/>
      <c r="D1041" s="2"/>
      <c r="E1041" s="3">
        <v>42072</v>
      </c>
      <c r="F1041" s="2" t="s">
        <v>7702</v>
      </c>
      <c r="G1041" s="2" t="s">
        <v>7801</v>
      </c>
      <c r="H1041" s="2" t="s">
        <v>2425</v>
      </c>
      <c r="I1041" s="2" t="s">
        <v>2491</v>
      </c>
      <c r="J1041" s="2"/>
      <c r="K1041" s="2" t="str">
        <f>HYPERLINK("https://docs.wto.org/imrd/directdoc.asp?DDFDocuments/t/G/SPS/NUSA2511A1.DOC")</f>
        <v>https://docs.wto.org/imrd/directdoc.asp?DDFDocuments/t/G/SPS/NUSA2511A1.DOC</v>
      </c>
      <c r="L1041" s="2" t="str">
        <f>HYPERLINK("https://docs.wto.org/imrd/directdoc.asp?DDFDocuments/u/G/SPS/NUSA2511A1.DOC")</f>
        <v>https://docs.wto.org/imrd/directdoc.asp?DDFDocuments/u/G/SPS/NUSA2511A1.DOC</v>
      </c>
      <c r="M1041" s="2" t="str">
        <f>HYPERLINK("https://docs.wto.org/imrd/directdoc.asp?DDFDocuments/v/G/SPS/NUSA2511A1.DOC")</f>
        <v>https://docs.wto.org/imrd/directdoc.asp?DDFDocuments/v/G/SPS/NUSA2511A1.DOC</v>
      </c>
      <c r="N1041" s="2" t="str">
        <f>HYPERLINK("http://www.epingalert.org/#/details/G/SPS/N/USA/2511/Add.1")</f>
        <v>http://www.epingalert.org/#/details/G/SPS/N/USA/2511/Add.1</v>
      </c>
      <c r="O1041" s="2"/>
    </row>
    <row r="1042" spans="1:15" ht="240" customHeight="1" outlineLevel="1" x14ac:dyDescent="0.25">
      <c r="A1042" s="2" t="s">
        <v>1488</v>
      </c>
      <c r="B1042" s="2" t="s">
        <v>6668</v>
      </c>
      <c r="C1042" s="2"/>
      <c r="D1042" s="2"/>
      <c r="E1042" s="3">
        <v>42068</v>
      </c>
      <c r="F1042" s="2" t="s">
        <v>6663</v>
      </c>
      <c r="G1042" s="2" t="s">
        <v>1646</v>
      </c>
      <c r="H1042" s="2" t="s">
        <v>2425</v>
      </c>
      <c r="I1042" s="2" t="s">
        <v>6549</v>
      </c>
      <c r="J1042" s="2"/>
      <c r="K1042" s="2" t="str">
        <f>HYPERLINK("https://docs.wto.org/imrd/directdoc.asp?DDFDocuments/t/G/SPS/NMEX233A1.DOC")</f>
        <v>https://docs.wto.org/imrd/directdoc.asp?DDFDocuments/t/G/SPS/NMEX233A1.DOC</v>
      </c>
      <c r="L1042" s="2" t="str">
        <f>HYPERLINK("https://docs.wto.org/imrd/directdoc.asp?DDFDocuments/u/G/SPS/NMEX233A1.DOC")</f>
        <v>https://docs.wto.org/imrd/directdoc.asp?DDFDocuments/u/G/SPS/NMEX233A1.DOC</v>
      </c>
      <c r="M1042" s="2" t="str">
        <f>HYPERLINK("https://docs.wto.org/imrd/directdoc.asp?DDFDocuments/v/G/SPS/NMEX233A1.DOC")</f>
        <v>https://docs.wto.org/imrd/directdoc.asp?DDFDocuments/v/G/SPS/NMEX233A1.DOC</v>
      </c>
      <c r="N1042" s="2" t="str">
        <f>HYPERLINK("http://www.epingalert.org/#/details/G/SPS/N/MEX/233/Add.1")</f>
        <v>http://www.epingalert.org/#/details/G/SPS/N/MEX/233/Add.1</v>
      </c>
      <c r="O1042" s="2"/>
    </row>
    <row r="1043" spans="1:15" ht="240" customHeight="1" outlineLevel="1" x14ac:dyDescent="0.25">
      <c r="A1043" s="2" t="s">
        <v>2930</v>
      </c>
      <c r="B1043" s="2" t="s">
        <v>7806</v>
      </c>
      <c r="C1043" s="2"/>
      <c r="D1043" s="2"/>
      <c r="E1043" s="3">
        <v>42068</v>
      </c>
      <c r="F1043" s="2" t="s">
        <v>7807</v>
      </c>
      <c r="G1043" s="2" t="s">
        <v>7229</v>
      </c>
      <c r="H1043" s="2" t="s">
        <v>2425</v>
      </c>
      <c r="I1043" s="2" t="s">
        <v>7034</v>
      </c>
      <c r="J1043" s="2"/>
      <c r="K1043" s="2" t="str">
        <f>HYPERLINK("https://docs.wto.org/imrd/directdoc.asp?DDFDocuments/t/G/SPS/NLKA37A1.DOC")</f>
        <v>https://docs.wto.org/imrd/directdoc.asp?DDFDocuments/t/G/SPS/NLKA37A1.DOC</v>
      </c>
      <c r="L1043" s="2" t="str">
        <f>HYPERLINK("https://docs.wto.org/imrd/directdoc.asp?DDFDocuments/u/G/SPS/NLKA37A1.DOC")</f>
        <v>https://docs.wto.org/imrd/directdoc.asp?DDFDocuments/u/G/SPS/NLKA37A1.DOC</v>
      </c>
      <c r="M1043" s="2" t="str">
        <f>HYPERLINK("https://docs.wto.org/imrd/directdoc.asp?DDFDocuments/v/G/SPS/NLKA37A1.DOC")</f>
        <v>https://docs.wto.org/imrd/directdoc.asp?DDFDocuments/v/G/SPS/NLKA37A1.DOC</v>
      </c>
      <c r="N1043" s="2" t="str">
        <f>HYPERLINK("http://www.epingalert.org/#/details/G/SPS/N/LKA/37/Add.1")</f>
        <v>http://www.epingalert.org/#/details/G/SPS/N/LKA/37/Add.1</v>
      </c>
      <c r="O1043" s="2"/>
    </row>
    <row r="1044" spans="1:15" ht="240" customHeight="1" outlineLevel="1" x14ac:dyDescent="0.25">
      <c r="A1044" s="2" t="s">
        <v>12</v>
      </c>
      <c r="B1044" s="2" t="s">
        <v>4510</v>
      </c>
      <c r="C1044" s="2" t="s">
        <v>4511</v>
      </c>
      <c r="D1044" s="2" t="s">
        <v>4512</v>
      </c>
      <c r="E1044" s="3">
        <v>42067</v>
      </c>
      <c r="F1044" s="2" t="s">
        <v>4513</v>
      </c>
      <c r="G1044" s="2"/>
      <c r="H1044" s="2" t="s">
        <v>2425</v>
      </c>
      <c r="I1044" s="2" t="s">
        <v>3155</v>
      </c>
      <c r="J1044" s="3">
        <v>42127</v>
      </c>
      <c r="K1044" s="2" t="str">
        <f>HYPERLINK("https://docs.wto.org/imrd/directdoc.asp?DDFDocuments/t/G/SPS/NEU121.DOC")</f>
        <v>https://docs.wto.org/imrd/directdoc.asp?DDFDocuments/t/G/SPS/NEU121.DOC</v>
      </c>
      <c r="L1044" s="2" t="str">
        <f>HYPERLINK("https://docs.wto.org/imrd/directdoc.asp?DDFDocuments/u/G/SPS/NEU121.DOC")</f>
        <v>https://docs.wto.org/imrd/directdoc.asp?DDFDocuments/u/G/SPS/NEU121.DOC</v>
      </c>
      <c r="M1044" s="2" t="str">
        <f>HYPERLINK("https://docs.wto.org/imrd/directdoc.asp?DDFDocuments/v/G/SPS/NEU121.DOC")</f>
        <v>https://docs.wto.org/imrd/directdoc.asp?DDFDocuments/v/G/SPS/NEU121.DOC</v>
      </c>
      <c r="N1044" s="2" t="str">
        <f>HYPERLINK("http://www.epingalert.org/#/details/G/SPS/N/EU/121")</f>
        <v>http://www.epingalert.org/#/details/G/SPS/N/EU/121</v>
      </c>
      <c r="O1044" s="2"/>
    </row>
    <row r="1045" spans="1:15" ht="240" customHeight="1" outlineLevel="1" x14ac:dyDescent="0.25">
      <c r="A1045" s="2" t="s">
        <v>12</v>
      </c>
      <c r="B1045" s="2" t="s">
        <v>4514</v>
      </c>
      <c r="C1045" s="2" t="s">
        <v>4515</v>
      </c>
      <c r="D1045" s="2" t="s">
        <v>4516</v>
      </c>
      <c r="E1045" s="3">
        <v>42067</v>
      </c>
      <c r="F1045" s="2" t="s">
        <v>2922</v>
      </c>
      <c r="G1045" s="2" t="s">
        <v>2923</v>
      </c>
      <c r="H1045" s="2" t="s">
        <v>2425</v>
      </c>
      <c r="I1045" s="2" t="s">
        <v>3155</v>
      </c>
      <c r="J1045" s="3">
        <v>42127</v>
      </c>
      <c r="K1045" s="2" t="str">
        <f>HYPERLINK("https://docs.wto.org/imrd/directdoc.asp?DDFDocuments/t/G/SPS/NEU120.DOC")</f>
        <v>https://docs.wto.org/imrd/directdoc.asp?DDFDocuments/t/G/SPS/NEU120.DOC</v>
      </c>
      <c r="L1045" s="2" t="str">
        <f>HYPERLINK("https://docs.wto.org/imrd/directdoc.asp?DDFDocuments/u/G/SPS/NEU120.DOC")</f>
        <v>https://docs.wto.org/imrd/directdoc.asp?DDFDocuments/u/G/SPS/NEU120.DOC</v>
      </c>
      <c r="M1045" s="2" t="str">
        <f>HYPERLINK("https://docs.wto.org/imrd/directdoc.asp?DDFDocuments/v/G/SPS/NEU120.DOC")</f>
        <v>https://docs.wto.org/imrd/directdoc.asp?DDFDocuments/v/G/SPS/NEU120.DOC</v>
      </c>
      <c r="N1045" s="2" t="str">
        <f>HYPERLINK("http://www.epingalert.org/#/details/G/SPS/N/EU/120")</f>
        <v>http://www.epingalert.org/#/details/G/SPS/N/EU/120</v>
      </c>
      <c r="O1045" s="2"/>
    </row>
    <row r="1046" spans="1:15" ht="240" customHeight="1" outlineLevel="1" x14ac:dyDescent="0.25">
      <c r="A1046" s="2" t="s">
        <v>173</v>
      </c>
      <c r="B1046" s="2" t="s">
        <v>7808</v>
      </c>
      <c r="C1046" s="2" t="s">
        <v>7809</v>
      </c>
      <c r="D1046" s="2" t="s">
        <v>7810</v>
      </c>
      <c r="E1046" s="3">
        <v>42067</v>
      </c>
      <c r="F1046" s="2" t="s">
        <v>7811</v>
      </c>
      <c r="G1046" s="2" t="s">
        <v>7812</v>
      </c>
      <c r="H1046" s="2" t="s">
        <v>2425</v>
      </c>
      <c r="I1046" s="2" t="s">
        <v>2461</v>
      </c>
      <c r="J1046" s="3">
        <v>42127</v>
      </c>
      <c r="K1046" s="2" t="str">
        <f>HYPERLINK("https://docs.wto.org/imrd/directdoc.asp?DDFDocuments/t/G/SPS/NSAU150.DOC")</f>
        <v>https://docs.wto.org/imrd/directdoc.asp?DDFDocuments/t/G/SPS/NSAU150.DOC</v>
      </c>
      <c r="L1046" s="2" t="str">
        <f>HYPERLINK("https://docs.wto.org/imrd/directdoc.asp?DDFDocuments/u/G/SPS/NSAU150.DOC")</f>
        <v>https://docs.wto.org/imrd/directdoc.asp?DDFDocuments/u/G/SPS/NSAU150.DOC</v>
      </c>
      <c r="M1046" s="2" t="str">
        <f>HYPERLINK("https://docs.wto.org/imrd/directdoc.asp?DDFDocuments/v/G/SPS/NSAU150.DOC")</f>
        <v>https://docs.wto.org/imrd/directdoc.asp?DDFDocuments/v/G/SPS/NSAU150.DOC</v>
      </c>
      <c r="N1046" s="2" t="str">
        <f>HYPERLINK("http://www.epingalert.org/#/details/G/SPS/N/SAU/150")</f>
        <v>http://www.epingalert.org/#/details/G/SPS/N/SAU/150</v>
      </c>
      <c r="O1046" s="2"/>
    </row>
    <row r="1047" spans="1:15" ht="240" customHeight="1" outlineLevel="1" x14ac:dyDescent="0.25">
      <c r="A1047" s="2" t="s">
        <v>173</v>
      </c>
      <c r="B1047" s="2" t="s">
        <v>7813</v>
      </c>
      <c r="C1047" s="2" t="s">
        <v>7814</v>
      </c>
      <c r="D1047" s="2" t="s">
        <v>7815</v>
      </c>
      <c r="E1047" s="3">
        <v>42067</v>
      </c>
      <c r="F1047" s="2" t="s">
        <v>7816</v>
      </c>
      <c r="G1047" s="2" t="s">
        <v>7817</v>
      </c>
      <c r="H1047" s="2" t="s">
        <v>2425</v>
      </c>
      <c r="I1047" s="2" t="s">
        <v>2461</v>
      </c>
      <c r="J1047" s="3">
        <v>42127</v>
      </c>
      <c r="K1047" s="2" t="str">
        <f>HYPERLINK("https://docs.wto.org/imrd/directdoc.asp?DDFDocuments/t/G/SPS/NSAU149.DOC")</f>
        <v>https://docs.wto.org/imrd/directdoc.asp?DDFDocuments/t/G/SPS/NSAU149.DOC</v>
      </c>
      <c r="L1047" s="2" t="str">
        <f>HYPERLINK("https://docs.wto.org/imrd/directdoc.asp?DDFDocuments/u/G/SPS/NSAU149.DOC")</f>
        <v>https://docs.wto.org/imrd/directdoc.asp?DDFDocuments/u/G/SPS/NSAU149.DOC</v>
      </c>
      <c r="M1047" s="2" t="str">
        <f>HYPERLINK("https://docs.wto.org/imrd/directdoc.asp?DDFDocuments/v/G/SPS/NSAU149.DOC")</f>
        <v>https://docs.wto.org/imrd/directdoc.asp?DDFDocuments/v/G/SPS/NSAU149.DOC</v>
      </c>
      <c r="N1047" s="2" t="str">
        <f>HYPERLINK("http://www.epingalert.org/#/details/G/SPS/N/SAU/149")</f>
        <v>http://www.epingalert.org/#/details/G/SPS/N/SAU/149</v>
      </c>
      <c r="O1047" s="2"/>
    </row>
    <row r="1048" spans="1:15" ht="240" customHeight="1" outlineLevel="1" x14ac:dyDescent="0.25">
      <c r="A1048" s="2" t="s">
        <v>173</v>
      </c>
      <c r="B1048" s="2" t="s">
        <v>7818</v>
      </c>
      <c r="C1048" s="2" t="s">
        <v>7819</v>
      </c>
      <c r="D1048" s="2" t="s">
        <v>7820</v>
      </c>
      <c r="E1048" s="3">
        <v>42067</v>
      </c>
      <c r="F1048" s="2" t="s">
        <v>7821</v>
      </c>
      <c r="G1048" s="2" t="s">
        <v>7822</v>
      </c>
      <c r="H1048" s="2" t="s">
        <v>2425</v>
      </c>
      <c r="I1048" s="2" t="s">
        <v>2461</v>
      </c>
      <c r="J1048" s="3">
        <v>42127</v>
      </c>
      <c r="K1048" s="2" t="str">
        <f>HYPERLINK("https://docs.wto.org/imrd/directdoc.asp?DDFDocuments/t/G/SPS/NSAU148.DOC")</f>
        <v>https://docs.wto.org/imrd/directdoc.asp?DDFDocuments/t/G/SPS/NSAU148.DOC</v>
      </c>
      <c r="L1048" s="2" t="str">
        <f>HYPERLINK("https://docs.wto.org/imrd/directdoc.asp?DDFDocuments/u/G/SPS/NSAU148.DOC")</f>
        <v>https://docs.wto.org/imrd/directdoc.asp?DDFDocuments/u/G/SPS/NSAU148.DOC</v>
      </c>
      <c r="M1048" s="2" t="str">
        <f>HYPERLINK("https://docs.wto.org/imrd/directdoc.asp?DDFDocuments/v/G/SPS/NSAU148.DOC")</f>
        <v>https://docs.wto.org/imrd/directdoc.asp?DDFDocuments/v/G/SPS/NSAU148.DOC</v>
      </c>
      <c r="N1048" s="2" t="str">
        <f>HYPERLINK("http://www.epingalert.org/#/details/G/SPS/N/SAU/148")</f>
        <v>http://www.epingalert.org/#/details/G/SPS/N/SAU/148</v>
      </c>
      <c r="O1048" s="2"/>
    </row>
    <row r="1049" spans="1:15" ht="240" customHeight="1" outlineLevel="1" x14ac:dyDescent="0.25">
      <c r="A1049" s="2" t="s">
        <v>173</v>
      </c>
      <c r="B1049" s="2" t="s">
        <v>7823</v>
      </c>
      <c r="C1049" s="2" t="s">
        <v>7824</v>
      </c>
      <c r="D1049" s="2" t="s">
        <v>7825</v>
      </c>
      <c r="E1049" s="3">
        <v>42067</v>
      </c>
      <c r="F1049" s="2" t="s">
        <v>7826</v>
      </c>
      <c r="G1049" s="2" t="s">
        <v>2215</v>
      </c>
      <c r="H1049" s="2" t="s">
        <v>2425</v>
      </c>
      <c r="I1049" s="2" t="s">
        <v>2461</v>
      </c>
      <c r="J1049" s="3">
        <v>42127</v>
      </c>
      <c r="K1049" s="2" t="str">
        <f>HYPERLINK("https://docs.wto.org/imrd/directdoc.asp?DDFDocuments/t/G/SPS/NSAU146.DOC")</f>
        <v>https://docs.wto.org/imrd/directdoc.asp?DDFDocuments/t/G/SPS/NSAU146.DOC</v>
      </c>
      <c r="L1049" s="2" t="str">
        <f>HYPERLINK("https://docs.wto.org/imrd/directdoc.asp?DDFDocuments/u/G/SPS/NSAU146.DOC")</f>
        <v>https://docs.wto.org/imrd/directdoc.asp?DDFDocuments/u/G/SPS/NSAU146.DOC</v>
      </c>
      <c r="M1049" s="2" t="str">
        <f>HYPERLINK("https://docs.wto.org/imrd/directdoc.asp?DDFDocuments/v/G/SPS/NSAU146.DOC")</f>
        <v>https://docs.wto.org/imrd/directdoc.asp?DDFDocuments/v/G/SPS/NSAU146.DOC</v>
      </c>
      <c r="N1049" s="2" t="str">
        <f>HYPERLINK("http://www.epingalert.org/#/details/G/SPS/N/SAU/146")</f>
        <v>http://www.epingalert.org/#/details/G/SPS/N/SAU/146</v>
      </c>
      <c r="O1049" s="2"/>
    </row>
    <row r="1050" spans="1:15" ht="240" customHeight="1" outlineLevel="1" x14ac:dyDescent="0.25">
      <c r="A1050" s="2" t="s">
        <v>173</v>
      </c>
      <c r="B1050" s="2" t="s">
        <v>7827</v>
      </c>
      <c r="C1050" s="2" t="s">
        <v>7828</v>
      </c>
      <c r="D1050" s="2" t="s">
        <v>7829</v>
      </c>
      <c r="E1050" s="3">
        <v>42067</v>
      </c>
      <c r="F1050" s="2" t="s">
        <v>7830</v>
      </c>
      <c r="G1050" s="2" t="s">
        <v>7831</v>
      </c>
      <c r="H1050" s="2" t="s">
        <v>2425</v>
      </c>
      <c r="I1050" s="2" t="s">
        <v>2461</v>
      </c>
      <c r="J1050" s="3">
        <v>42127</v>
      </c>
      <c r="K1050" s="2" t="str">
        <f>HYPERLINK("https://docs.wto.org/imrd/directdoc.asp?DDFDocuments/t/G/SPS/NSAU145.DOC")</f>
        <v>https://docs.wto.org/imrd/directdoc.asp?DDFDocuments/t/G/SPS/NSAU145.DOC</v>
      </c>
      <c r="L1050" s="2" t="str">
        <f>HYPERLINK("https://docs.wto.org/imrd/directdoc.asp?DDFDocuments/u/G/SPS/NSAU145.DOC")</f>
        <v>https://docs.wto.org/imrd/directdoc.asp?DDFDocuments/u/G/SPS/NSAU145.DOC</v>
      </c>
      <c r="M1050" s="2" t="str">
        <f>HYPERLINK("https://docs.wto.org/imrd/directdoc.asp?DDFDocuments/v/G/SPS/NSAU145.DOC")</f>
        <v>https://docs.wto.org/imrd/directdoc.asp?DDFDocuments/v/G/SPS/NSAU145.DOC</v>
      </c>
      <c r="N1050" s="2" t="str">
        <f>HYPERLINK("http://www.epingalert.org/#/details/G/SPS/N/SAU/145")</f>
        <v>http://www.epingalert.org/#/details/G/SPS/N/SAU/145</v>
      </c>
      <c r="O1050" s="2"/>
    </row>
    <row r="1051" spans="1:15" ht="240" customHeight="1" outlineLevel="1" x14ac:dyDescent="0.25">
      <c r="A1051" s="2" t="s">
        <v>173</v>
      </c>
      <c r="B1051" s="2" t="s">
        <v>7832</v>
      </c>
      <c r="C1051" s="2" t="s">
        <v>7833</v>
      </c>
      <c r="D1051" s="2" t="s">
        <v>7834</v>
      </c>
      <c r="E1051" s="3">
        <v>42067</v>
      </c>
      <c r="F1051" s="2" t="s">
        <v>7835</v>
      </c>
      <c r="G1051" s="2" t="s">
        <v>2248</v>
      </c>
      <c r="H1051" s="2" t="s">
        <v>2425</v>
      </c>
      <c r="I1051" s="2" t="s">
        <v>2461</v>
      </c>
      <c r="J1051" s="3">
        <v>42127</v>
      </c>
      <c r="K1051" s="2" t="str">
        <f>HYPERLINK("https://docs.wto.org/imrd/directdoc.asp?DDFDocuments/t/G/SPS/NSAU144.DOC")</f>
        <v>https://docs.wto.org/imrd/directdoc.asp?DDFDocuments/t/G/SPS/NSAU144.DOC</v>
      </c>
      <c r="L1051" s="2" t="str">
        <f>HYPERLINK("https://docs.wto.org/imrd/directdoc.asp?DDFDocuments/u/G/SPS/NSAU144.DOC")</f>
        <v>https://docs.wto.org/imrd/directdoc.asp?DDFDocuments/u/G/SPS/NSAU144.DOC</v>
      </c>
      <c r="M1051" s="2" t="str">
        <f>HYPERLINK("https://docs.wto.org/imrd/directdoc.asp?DDFDocuments/v/G/SPS/NSAU144.DOC")</f>
        <v>https://docs.wto.org/imrd/directdoc.asp?DDFDocuments/v/G/SPS/NSAU144.DOC</v>
      </c>
      <c r="N1051" s="2" t="str">
        <f>HYPERLINK("http://www.epingalert.org/#/details/G/SPS/N/SAU/144")</f>
        <v>http://www.epingalert.org/#/details/G/SPS/N/SAU/144</v>
      </c>
      <c r="O1051" s="2"/>
    </row>
    <row r="1052" spans="1:15" ht="240" customHeight="1" outlineLevel="1" x14ac:dyDescent="0.25">
      <c r="A1052" s="2" t="s">
        <v>185</v>
      </c>
      <c r="B1052" s="2" t="s">
        <v>7836</v>
      </c>
      <c r="C1052" s="2" t="s">
        <v>7837</v>
      </c>
      <c r="D1052" s="2" t="s">
        <v>7838</v>
      </c>
      <c r="E1052" s="3">
        <v>42066</v>
      </c>
      <c r="F1052" s="2" t="s">
        <v>7336</v>
      </c>
      <c r="G1052" s="2" t="s">
        <v>2381</v>
      </c>
      <c r="H1052" s="2" t="s">
        <v>2425</v>
      </c>
      <c r="I1052" s="2" t="s">
        <v>2461</v>
      </c>
      <c r="J1052" s="3">
        <v>42126</v>
      </c>
      <c r="K1052" s="2" t="str">
        <f>HYPERLINK("https://docs.wto.org/imrd/directdoc.asp?DDFDocuments/t/G/SPS/NEGY61.DOC")</f>
        <v>https://docs.wto.org/imrd/directdoc.asp?DDFDocuments/t/G/SPS/NEGY61.DOC</v>
      </c>
      <c r="L1052" s="2" t="str">
        <f>HYPERLINK("https://docs.wto.org/imrd/directdoc.asp?DDFDocuments/u/G/SPS/NEGY61.DOC")</f>
        <v>https://docs.wto.org/imrd/directdoc.asp?DDFDocuments/u/G/SPS/NEGY61.DOC</v>
      </c>
      <c r="M1052" s="2" t="str">
        <f>HYPERLINK("https://docs.wto.org/imrd/directdoc.asp?DDFDocuments/v/G/SPS/NEGY61.DOC")</f>
        <v>https://docs.wto.org/imrd/directdoc.asp?DDFDocuments/v/G/SPS/NEGY61.DOC</v>
      </c>
      <c r="N1052" s="2" t="str">
        <f>HYPERLINK("http://www.epingalert.org/#/details/G/SPS/N/EGY/61")</f>
        <v>http://www.epingalert.org/#/details/G/SPS/N/EGY/61</v>
      </c>
      <c r="O1052" s="2"/>
    </row>
    <row r="1053" spans="1:15" ht="240" customHeight="1" outlineLevel="1" x14ac:dyDescent="0.25">
      <c r="A1053" s="2" t="s">
        <v>185</v>
      </c>
      <c r="B1053" s="2" t="s">
        <v>7839</v>
      </c>
      <c r="C1053" s="2" t="s">
        <v>7840</v>
      </c>
      <c r="D1053" s="2" t="s">
        <v>7841</v>
      </c>
      <c r="E1053" s="3">
        <v>42066</v>
      </c>
      <c r="F1053" s="2" t="s">
        <v>6903</v>
      </c>
      <c r="G1053" s="2" t="s">
        <v>6904</v>
      </c>
      <c r="H1053" s="2" t="s">
        <v>2425</v>
      </c>
      <c r="I1053" s="2" t="s">
        <v>2461</v>
      </c>
      <c r="J1053" s="3">
        <v>42126</v>
      </c>
      <c r="K1053" s="2" t="str">
        <f>HYPERLINK("https://docs.wto.org/imrd/directdoc.asp?DDFDocuments/t/G/SPS/NEGY60.DOC")</f>
        <v>https://docs.wto.org/imrd/directdoc.asp?DDFDocuments/t/G/SPS/NEGY60.DOC</v>
      </c>
      <c r="L1053" s="2" t="str">
        <f>HYPERLINK("https://docs.wto.org/imrd/directdoc.asp?DDFDocuments/u/G/SPS/NEGY60.DOC")</f>
        <v>https://docs.wto.org/imrd/directdoc.asp?DDFDocuments/u/G/SPS/NEGY60.DOC</v>
      </c>
      <c r="M1053" s="2" t="str">
        <f>HYPERLINK("https://docs.wto.org/imrd/directdoc.asp?DDFDocuments/v/G/SPS/NEGY60.DOC")</f>
        <v>https://docs.wto.org/imrd/directdoc.asp?DDFDocuments/v/G/SPS/NEGY60.DOC</v>
      </c>
      <c r="N1053" s="2" t="str">
        <f>HYPERLINK("http://www.epingalert.org/#/details/G/SPS/N/EGY/60")</f>
        <v>http://www.epingalert.org/#/details/G/SPS/N/EGY/60</v>
      </c>
      <c r="O1053" s="2"/>
    </row>
    <row r="1054" spans="1:15" ht="240" customHeight="1" outlineLevel="1" x14ac:dyDescent="0.25">
      <c r="A1054" s="2" t="s">
        <v>185</v>
      </c>
      <c r="B1054" s="2" t="s">
        <v>7842</v>
      </c>
      <c r="C1054" s="2" t="s">
        <v>7843</v>
      </c>
      <c r="D1054" s="2" t="s">
        <v>7844</v>
      </c>
      <c r="E1054" s="3">
        <v>42066</v>
      </c>
      <c r="F1054" s="2" t="s">
        <v>7336</v>
      </c>
      <c r="G1054" s="2" t="s">
        <v>7229</v>
      </c>
      <c r="H1054" s="2" t="s">
        <v>2425</v>
      </c>
      <c r="I1054" s="2" t="s">
        <v>2461</v>
      </c>
      <c r="J1054" s="3">
        <v>42126</v>
      </c>
      <c r="K1054" s="2" t="str">
        <f>HYPERLINK("https://docs.wto.org/imrd/directdoc.asp?DDFDocuments/t/G/SPS/NEGY59.DOC")</f>
        <v>https://docs.wto.org/imrd/directdoc.asp?DDFDocuments/t/G/SPS/NEGY59.DOC</v>
      </c>
      <c r="L1054" s="2" t="str">
        <f>HYPERLINK("https://docs.wto.org/imrd/directdoc.asp?DDFDocuments/u/G/SPS/NEGY59.DOC")</f>
        <v>https://docs.wto.org/imrd/directdoc.asp?DDFDocuments/u/G/SPS/NEGY59.DOC</v>
      </c>
      <c r="M1054" s="2" t="str">
        <f>HYPERLINK("https://docs.wto.org/imrd/directdoc.asp?DDFDocuments/v/G/SPS/NEGY59.DOC")</f>
        <v>https://docs.wto.org/imrd/directdoc.asp?DDFDocuments/v/G/SPS/NEGY59.DOC</v>
      </c>
      <c r="N1054" s="2" t="str">
        <f>HYPERLINK("http://www.epingalert.org/#/details/G/SPS/N/EGY/59")</f>
        <v>http://www.epingalert.org/#/details/G/SPS/N/EGY/59</v>
      </c>
      <c r="O1054" s="2"/>
    </row>
    <row r="1055" spans="1:15" ht="240" customHeight="1" outlineLevel="1" x14ac:dyDescent="0.25">
      <c r="A1055" s="2" t="s">
        <v>115</v>
      </c>
      <c r="B1055" s="2" t="s">
        <v>4517</v>
      </c>
      <c r="C1055" s="2" t="s">
        <v>2622</v>
      </c>
      <c r="D1055" s="2" t="s">
        <v>4518</v>
      </c>
      <c r="E1055" s="3">
        <v>42066</v>
      </c>
      <c r="F1055" s="2" t="s">
        <v>4519</v>
      </c>
      <c r="G1055" s="2"/>
      <c r="H1055" s="2" t="s">
        <v>2425</v>
      </c>
      <c r="I1055" s="2" t="s">
        <v>2426</v>
      </c>
      <c r="J1055" s="2"/>
      <c r="K1055" s="2" t="str">
        <f>HYPERLINK("https://docs.wto.org/imrd/directdoc.asp?DDFDocuments/t/G/SPS/NJPN402.DOC")</f>
        <v>https://docs.wto.org/imrd/directdoc.asp?DDFDocuments/t/G/SPS/NJPN402.DOC</v>
      </c>
      <c r="L1055" s="2" t="str">
        <f>HYPERLINK("https://docs.wto.org/imrd/directdoc.asp?DDFDocuments/u/G/SPS/NJPN402.DOC")</f>
        <v>https://docs.wto.org/imrd/directdoc.asp?DDFDocuments/u/G/SPS/NJPN402.DOC</v>
      </c>
      <c r="M1055" s="2" t="str">
        <f>HYPERLINK("https://docs.wto.org/imrd/directdoc.asp?DDFDocuments/v/G/SPS/NJPN402.DOC")</f>
        <v>https://docs.wto.org/imrd/directdoc.asp?DDFDocuments/v/G/SPS/NJPN402.DOC</v>
      </c>
      <c r="N1055" s="2" t="str">
        <f>HYPERLINK("http://www.epingalert.org/#/details/G/SPS/N/JPN/402")</f>
        <v>http://www.epingalert.org/#/details/G/SPS/N/JPN/402</v>
      </c>
      <c r="O1055" s="2"/>
    </row>
    <row r="1056" spans="1:15" ht="240" customHeight="1" outlineLevel="1" x14ac:dyDescent="0.25">
      <c r="A1056" s="2" t="s">
        <v>115</v>
      </c>
      <c r="B1056" s="2" t="s">
        <v>7845</v>
      </c>
      <c r="C1056" s="2" t="s">
        <v>6754</v>
      </c>
      <c r="D1056" s="2" t="s">
        <v>7846</v>
      </c>
      <c r="E1056" s="3">
        <v>42062</v>
      </c>
      <c r="F1056" s="2" t="s">
        <v>7661</v>
      </c>
      <c r="G1056" s="2" t="s">
        <v>7847</v>
      </c>
      <c r="H1056" s="2" t="s">
        <v>2425</v>
      </c>
      <c r="I1056" s="2" t="s">
        <v>2499</v>
      </c>
      <c r="J1056" s="3">
        <v>42122</v>
      </c>
      <c r="K1056" s="2" t="str">
        <f>HYPERLINK("https://docs.wto.org/imrd/directdoc.asp?DDFDocuments/t/G/SPS/NJPN401.DOC")</f>
        <v>https://docs.wto.org/imrd/directdoc.asp?DDFDocuments/t/G/SPS/NJPN401.DOC</v>
      </c>
      <c r="L1056" s="2" t="str">
        <f>HYPERLINK("https://docs.wto.org/imrd/directdoc.asp?DDFDocuments/u/G/SPS/NJPN401.DOC")</f>
        <v>https://docs.wto.org/imrd/directdoc.asp?DDFDocuments/u/G/SPS/NJPN401.DOC</v>
      </c>
      <c r="M1056" s="2" t="str">
        <f>HYPERLINK("https://docs.wto.org/imrd/directdoc.asp?DDFDocuments/v/G/SPS/NJPN401.DOC")</f>
        <v>https://docs.wto.org/imrd/directdoc.asp?DDFDocuments/v/G/SPS/NJPN401.DOC</v>
      </c>
      <c r="N1056" s="2" t="str">
        <f>HYPERLINK("http://www.epingalert.org/#/details/G/SPS/N/JPN/401")</f>
        <v>http://www.epingalert.org/#/details/G/SPS/N/JPN/401</v>
      </c>
      <c r="O1056" s="2"/>
    </row>
    <row r="1057" spans="1:15" ht="240" customHeight="1" outlineLevel="1" x14ac:dyDescent="0.25">
      <c r="A1057" s="2" t="s">
        <v>115</v>
      </c>
      <c r="B1057" s="2" t="s">
        <v>7848</v>
      </c>
      <c r="C1057" s="2" t="s">
        <v>6754</v>
      </c>
      <c r="D1057" s="2" t="s">
        <v>7849</v>
      </c>
      <c r="E1057" s="3">
        <v>42062</v>
      </c>
      <c r="F1057" s="2" t="s">
        <v>7850</v>
      </c>
      <c r="G1057" s="2" t="s">
        <v>7851</v>
      </c>
      <c r="H1057" s="2" t="s">
        <v>2425</v>
      </c>
      <c r="I1057" s="2" t="s">
        <v>2453</v>
      </c>
      <c r="J1057" s="3">
        <v>42122</v>
      </c>
      <c r="K1057" s="2" t="str">
        <f>HYPERLINK("https://docs.wto.org/imrd/directdoc.asp?DDFDocuments/t/G/SPS/NJPN400.DOC")</f>
        <v>https://docs.wto.org/imrd/directdoc.asp?DDFDocuments/t/G/SPS/NJPN400.DOC</v>
      </c>
      <c r="L1057" s="2" t="str">
        <f>HYPERLINK("https://docs.wto.org/imrd/directdoc.asp?DDFDocuments/u/G/SPS/NJPN400.DOC")</f>
        <v>https://docs.wto.org/imrd/directdoc.asp?DDFDocuments/u/G/SPS/NJPN400.DOC</v>
      </c>
      <c r="M1057" s="2" t="str">
        <f>HYPERLINK("https://docs.wto.org/imrd/directdoc.asp?DDFDocuments/v/G/SPS/NJPN400.DOC")</f>
        <v>https://docs.wto.org/imrd/directdoc.asp?DDFDocuments/v/G/SPS/NJPN400.DOC</v>
      </c>
      <c r="N1057" s="2" t="str">
        <f>HYPERLINK("http://www.epingalert.org/#/details/G/SPS/N/JPN/400")</f>
        <v>http://www.epingalert.org/#/details/G/SPS/N/JPN/400</v>
      </c>
      <c r="O1057" s="2"/>
    </row>
    <row r="1058" spans="1:15" ht="240" customHeight="1" outlineLevel="1" x14ac:dyDescent="0.25">
      <c r="A1058" s="2" t="s">
        <v>115</v>
      </c>
      <c r="B1058" s="2" t="s">
        <v>7852</v>
      </c>
      <c r="C1058" s="2" t="s">
        <v>6754</v>
      </c>
      <c r="D1058" s="2" t="s">
        <v>7853</v>
      </c>
      <c r="E1058" s="3">
        <v>42062</v>
      </c>
      <c r="F1058" s="2" t="s">
        <v>7854</v>
      </c>
      <c r="G1058" s="2" t="s">
        <v>7855</v>
      </c>
      <c r="H1058" s="2" t="s">
        <v>2425</v>
      </c>
      <c r="I1058" s="2" t="s">
        <v>2453</v>
      </c>
      <c r="J1058" s="3">
        <v>42122</v>
      </c>
      <c r="K1058" s="2" t="str">
        <f>HYPERLINK("https://docs.wto.org/imrd/directdoc.asp?DDFDocuments/t/G/SPS/NJPN399.DOC")</f>
        <v>https://docs.wto.org/imrd/directdoc.asp?DDFDocuments/t/G/SPS/NJPN399.DOC</v>
      </c>
      <c r="L1058" s="2" t="str">
        <f>HYPERLINK("https://docs.wto.org/imrd/directdoc.asp?DDFDocuments/u/G/SPS/NJPN399.DOC")</f>
        <v>https://docs.wto.org/imrd/directdoc.asp?DDFDocuments/u/G/SPS/NJPN399.DOC</v>
      </c>
      <c r="M1058" s="2" t="str">
        <f>HYPERLINK("https://docs.wto.org/imrd/directdoc.asp?DDFDocuments/v/G/SPS/NJPN399.DOC")</f>
        <v>https://docs.wto.org/imrd/directdoc.asp?DDFDocuments/v/G/SPS/NJPN399.DOC</v>
      </c>
      <c r="N1058" s="2" t="str">
        <f>HYPERLINK("http://www.epingalert.org/#/details/G/SPS/N/JPN/399")</f>
        <v>http://www.epingalert.org/#/details/G/SPS/N/JPN/399</v>
      </c>
      <c r="O1058" s="2"/>
    </row>
    <row r="1059" spans="1:15" ht="240" customHeight="1" outlineLevel="1" x14ac:dyDescent="0.25">
      <c r="A1059" s="2" t="s">
        <v>77</v>
      </c>
      <c r="B1059" s="2" t="s">
        <v>4520</v>
      </c>
      <c r="C1059" s="2" t="s">
        <v>4521</v>
      </c>
      <c r="D1059" s="2" t="s">
        <v>4522</v>
      </c>
      <c r="E1059" s="3">
        <v>42061</v>
      </c>
      <c r="F1059" s="2" t="s">
        <v>3075</v>
      </c>
      <c r="G1059" s="2"/>
      <c r="H1059" s="2" t="s">
        <v>2425</v>
      </c>
      <c r="I1059" s="2" t="s">
        <v>2426</v>
      </c>
      <c r="J1059" s="3">
        <v>42121</v>
      </c>
      <c r="K1059" s="2" t="str">
        <f>HYPERLINK("https://docs.wto.org/imrd/directdoc.asp?DDFDocuments/t/G/SPS/NTPKM350.DOC")</f>
        <v>https://docs.wto.org/imrd/directdoc.asp?DDFDocuments/t/G/SPS/NTPKM350.DOC</v>
      </c>
      <c r="L1059" s="2" t="str">
        <f>HYPERLINK("https://docs.wto.org/imrd/directdoc.asp?DDFDocuments/u/G/SPS/NTPKM350.DOC")</f>
        <v>https://docs.wto.org/imrd/directdoc.asp?DDFDocuments/u/G/SPS/NTPKM350.DOC</v>
      </c>
      <c r="M1059" s="2" t="str">
        <f>HYPERLINK("https://docs.wto.org/imrd/directdoc.asp?DDFDocuments/v/G/SPS/NTPKM350.DOC")</f>
        <v>https://docs.wto.org/imrd/directdoc.asp?DDFDocuments/v/G/SPS/NTPKM350.DOC</v>
      </c>
      <c r="N1059" s="2" t="str">
        <f>HYPERLINK("http://www.epingalert.org/#/details/G/SPS/N/TPKM/350")</f>
        <v>http://www.epingalert.org/#/details/G/SPS/N/TPKM/350</v>
      </c>
      <c r="O1059" s="2"/>
    </row>
    <row r="1060" spans="1:15" ht="240" customHeight="1" outlineLevel="1" x14ac:dyDescent="0.25">
      <c r="A1060" s="2" t="s">
        <v>115</v>
      </c>
      <c r="B1060" s="2" t="s">
        <v>7856</v>
      </c>
      <c r="C1060" s="2" t="s">
        <v>6754</v>
      </c>
      <c r="D1060" s="2" t="s">
        <v>7857</v>
      </c>
      <c r="E1060" s="3">
        <v>42061</v>
      </c>
      <c r="F1060" s="2" t="s">
        <v>7054</v>
      </c>
      <c r="G1060" s="2" t="s">
        <v>7858</v>
      </c>
      <c r="H1060" s="2" t="s">
        <v>2425</v>
      </c>
      <c r="I1060" s="2" t="s">
        <v>2453</v>
      </c>
      <c r="J1060" s="3">
        <v>42121</v>
      </c>
      <c r="K1060" s="2" t="str">
        <f>HYPERLINK("https://docs.wto.org/imrd/directdoc.asp?DDFDocuments/t/G/SPS/NJPN398.DOC")</f>
        <v>https://docs.wto.org/imrd/directdoc.asp?DDFDocuments/t/G/SPS/NJPN398.DOC</v>
      </c>
      <c r="L1060" s="2" t="str">
        <f>HYPERLINK("https://docs.wto.org/imrd/directdoc.asp?DDFDocuments/u/G/SPS/NJPN398.DOC")</f>
        <v>https://docs.wto.org/imrd/directdoc.asp?DDFDocuments/u/G/SPS/NJPN398.DOC</v>
      </c>
      <c r="M1060" s="2" t="str">
        <f>HYPERLINK("https://docs.wto.org/imrd/directdoc.asp?DDFDocuments/v/G/SPS/NJPN398.DOC")</f>
        <v>https://docs.wto.org/imrd/directdoc.asp?DDFDocuments/v/G/SPS/NJPN398.DOC</v>
      </c>
      <c r="N1060" s="2" t="str">
        <f>HYPERLINK("http://www.epingalert.org/#/details/G/SPS/N/JPN/398")</f>
        <v>http://www.epingalert.org/#/details/G/SPS/N/JPN/398</v>
      </c>
      <c r="O1060" s="2"/>
    </row>
    <row r="1061" spans="1:15" ht="240" customHeight="1" outlineLevel="1" x14ac:dyDescent="0.25">
      <c r="A1061" s="2" t="s">
        <v>1908</v>
      </c>
      <c r="B1061" s="2" t="s">
        <v>4523</v>
      </c>
      <c r="C1061" s="2"/>
      <c r="D1061" s="2"/>
      <c r="E1061" s="3">
        <v>42060</v>
      </c>
      <c r="F1061" s="2" t="s">
        <v>4524</v>
      </c>
      <c r="G1061" s="2"/>
      <c r="H1061" s="2" t="s">
        <v>2425</v>
      </c>
      <c r="I1061" s="2" t="s">
        <v>2444</v>
      </c>
      <c r="J1061" s="2"/>
      <c r="K1061" s="2" t="str">
        <f>HYPERLINK("https://docs.wto.org/imrd/directdoc.asp?DDFDocuments/t/G/SPS/NCAN898A1.DOC")</f>
        <v>https://docs.wto.org/imrd/directdoc.asp?DDFDocuments/t/G/SPS/NCAN898A1.DOC</v>
      </c>
      <c r="L1061" s="2" t="str">
        <f>HYPERLINK("https://docs.wto.org/imrd/directdoc.asp?DDFDocuments/u/G/SPS/NCAN898A1.DOC")</f>
        <v>https://docs.wto.org/imrd/directdoc.asp?DDFDocuments/u/G/SPS/NCAN898A1.DOC</v>
      </c>
      <c r="M1061" s="2" t="str">
        <f>HYPERLINK("https://docs.wto.org/imrd/directdoc.asp?DDFDocuments/v/G/SPS/NCAN898A1.DOC")</f>
        <v>https://docs.wto.org/imrd/directdoc.asp?DDFDocuments/v/G/SPS/NCAN898A1.DOC</v>
      </c>
      <c r="N1061" s="2" t="str">
        <f>HYPERLINK("http://www.epingalert.org/#/details/G/SPS/N/CAN/898/Add.1")</f>
        <v>http://www.epingalert.org/#/details/G/SPS/N/CAN/898/Add.1</v>
      </c>
      <c r="O1061" s="2"/>
    </row>
    <row r="1062" spans="1:15" ht="240" customHeight="1" outlineLevel="1" x14ac:dyDescent="0.25">
      <c r="A1062" s="2" t="s">
        <v>1198</v>
      </c>
      <c r="B1062" s="2" t="s">
        <v>7859</v>
      </c>
      <c r="C1062" s="2" t="s">
        <v>7860</v>
      </c>
      <c r="D1062" s="2" t="s">
        <v>7861</v>
      </c>
      <c r="E1062" s="3">
        <v>42059</v>
      </c>
      <c r="F1062" s="2" t="s">
        <v>7862</v>
      </c>
      <c r="G1062" s="2" t="s">
        <v>2262</v>
      </c>
      <c r="H1062" s="2" t="s">
        <v>7356</v>
      </c>
      <c r="I1062" s="2" t="s">
        <v>6869</v>
      </c>
      <c r="J1062" s="3">
        <v>42119</v>
      </c>
      <c r="K1062" s="2" t="str">
        <f>HYPERLINK("https://docs.wto.org/imrd/directdoc.asp?DDFDocuments/t/G/SPS/NECU157.DOC")</f>
        <v>https://docs.wto.org/imrd/directdoc.asp?DDFDocuments/t/G/SPS/NECU157.DOC</v>
      </c>
      <c r="L1062" s="2" t="str">
        <f>HYPERLINK("https://docs.wto.org/imrd/directdoc.asp?DDFDocuments/u/G/SPS/NECU157.DOC")</f>
        <v>https://docs.wto.org/imrd/directdoc.asp?DDFDocuments/u/G/SPS/NECU157.DOC</v>
      </c>
      <c r="M1062" s="2" t="str">
        <f>HYPERLINK("https://docs.wto.org/imrd/directdoc.asp?DDFDocuments/v/G/SPS/NECU157.DOC")</f>
        <v>https://docs.wto.org/imrd/directdoc.asp?DDFDocuments/v/G/SPS/NECU157.DOC</v>
      </c>
      <c r="N1062" s="2" t="str">
        <f>HYPERLINK("http://www.epingalert.org/#/details/G/SPS/N/ECU/157")</f>
        <v>http://www.epingalert.org/#/details/G/SPS/N/ECU/157</v>
      </c>
      <c r="O1062" s="2"/>
    </row>
    <row r="1063" spans="1:15" ht="240" customHeight="1" outlineLevel="1" x14ac:dyDescent="0.25">
      <c r="A1063" s="2" t="s">
        <v>25</v>
      </c>
      <c r="B1063" s="2" t="s">
        <v>4525</v>
      </c>
      <c r="C1063" s="2"/>
      <c r="D1063" s="2"/>
      <c r="E1063" s="3">
        <v>42059</v>
      </c>
      <c r="F1063" s="2" t="s">
        <v>299</v>
      </c>
      <c r="G1063" s="2"/>
      <c r="H1063" s="2" t="s">
        <v>2425</v>
      </c>
      <c r="I1063" s="2" t="s">
        <v>2444</v>
      </c>
      <c r="J1063" s="2"/>
      <c r="K1063" s="2" t="str">
        <f>HYPERLINK("https://docs.wto.org/imrd/directdoc.asp?DDFDocuments/t/G/SPS/NKOR495A1.DOC")</f>
        <v>https://docs.wto.org/imrd/directdoc.asp?DDFDocuments/t/G/SPS/NKOR495A1.DOC</v>
      </c>
      <c r="L1063" s="2" t="str">
        <f>HYPERLINK("https://docs.wto.org/imrd/directdoc.asp?DDFDocuments/u/G/SPS/NKOR495A1.DOC")</f>
        <v>https://docs.wto.org/imrd/directdoc.asp?DDFDocuments/u/G/SPS/NKOR495A1.DOC</v>
      </c>
      <c r="M1063" s="2" t="str">
        <f>HYPERLINK("https://docs.wto.org/imrd/directdoc.asp?DDFDocuments/v/G/SPS/NKOR495A1.DOC")</f>
        <v>https://docs.wto.org/imrd/directdoc.asp?DDFDocuments/v/G/SPS/NKOR495A1.DOC</v>
      </c>
      <c r="N1063" s="2" t="str">
        <f>HYPERLINK("http://www.epingalert.org/#/details/G/SPS/N/KOR/495/Add.1")</f>
        <v>http://www.epingalert.org/#/details/G/SPS/N/KOR/495/Add.1</v>
      </c>
      <c r="O1063" s="2"/>
    </row>
    <row r="1064" spans="1:15" ht="240" customHeight="1" outlineLevel="1" x14ac:dyDescent="0.25">
      <c r="A1064" s="2" t="s">
        <v>37</v>
      </c>
      <c r="B1064" s="2" t="s">
        <v>4526</v>
      </c>
      <c r="C1064" s="2" t="s">
        <v>4527</v>
      </c>
      <c r="D1064" s="2" t="s">
        <v>4528</v>
      </c>
      <c r="E1064" s="3">
        <v>42058</v>
      </c>
      <c r="F1064" s="2" t="s">
        <v>4529</v>
      </c>
      <c r="G1064" s="2" t="s">
        <v>2661</v>
      </c>
      <c r="H1064" s="2" t="s">
        <v>2425</v>
      </c>
      <c r="I1064" s="2" t="s">
        <v>2558</v>
      </c>
      <c r="J1064" s="3">
        <v>42118</v>
      </c>
      <c r="K1064" s="2" t="str">
        <f>HYPERLINK("https://docs.wto.org/imrd/directdoc.asp?DDFDocuments/t/G/SPS/NTUR55.DOC")</f>
        <v>https://docs.wto.org/imrd/directdoc.asp?DDFDocuments/t/G/SPS/NTUR55.DOC</v>
      </c>
      <c r="L1064" s="2" t="str">
        <f>HYPERLINK("https://docs.wto.org/imrd/directdoc.asp?DDFDocuments/u/G/SPS/NTUR55.DOC")</f>
        <v>https://docs.wto.org/imrd/directdoc.asp?DDFDocuments/u/G/SPS/NTUR55.DOC</v>
      </c>
      <c r="M1064" s="2" t="str">
        <f>HYPERLINK("https://docs.wto.org/imrd/directdoc.asp?DDFDocuments/v/G/SPS/NTUR55.DOC")</f>
        <v>https://docs.wto.org/imrd/directdoc.asp?DDFDocuments/v/G/SPS/NTUR55.DOC</v>
      </c>
      <c r="N1064" s="2" t="str">
        <f>HYPERLINK("http://www.epingalert.org/#/details/G/SPS/N/TUR/55")</f>
        <v>http://www.epingalert.org/#/details/G/SPS/N/TUR/55</v>
      </c>
      <c r="O1064" s="2"/>
    </row>
    <row r="1065" spans="1:15" ht="240" customHeight="1" outlineLevel="1" x14ac:dyDescent="0.25">
      <c r="A1065" s="2" t="s">
        <v>37</v>
      </c>
      <c r="B1065" s="2" t="s">
        <v>4530</v>
      </c>
      <c r="C1065" s="2" t="s">
        <v>4531</v>
      </c>
      <c r="D1065" s="2" t="s">
        <v>4532</v>
      </c>
      <c r="E1065" s="3">
        <v>42058</v>
      </c>
      <c r="F1065" s="2" t="s">
        <v>4533</v>
      </c>
      <c r="G1065" s="2" t="s">
        <v>2661</v>
      </c>
      <c r="H1065" s="2" t="s">
        <v>2425</v>
      </c>
      <c r="I1065" s="2" t="s">
        <v>2558</v>
      </c>
      <c r="J1065" s="3">
        <v>42118</v>
      </c>
      <c r="K1065" s="2" t="str">
        <f>HYPERLINK("https://docs.wto.org/imrd/directdoc.asp?DDFDocuments/t/G/SPS/NTUR54.DOC")</f>
        <v>https://docs.wto.org/imrd/directdoc.asp?DDFDocuments/t/G/SPS/NTUR54.DOC</v>
      </c>
      <c r="L1065" s="2" t="str">
        <f>HYPERLINK("https://docs.wto.org/imrd/directdoc.asp?DDFDocuments/u/G/SPS/NTUR54.DOC")</f>
        <v>https://docs.wto.org/imrd/directdoc.asp?DDFDocuments/u/G/SPS/NTUR54.DOC</v>
      </c>
      <c r="M1065" s="2" t="str">
        <f>HYPERLINK("https://docs.wto.org/imrd/directdoc.asp?DDFDocuments/v/G/SPS/NTUR54.DOC")</f>
        <v>https://docs.wto.org/imrd/directdoc.asp?DDFDocuments/v/G/SPS/NTUR54.DOC</v>
      </c>
      <c r="N1065" s="2" t="str">
        <f>HYPERLINK("http://www.epingalert.org/#/details/G/SPS/N/TUR/54")</f>
        <v>http://www.epingalert.org/#/details/G/SPS/N/TUR/54</v>
      </c>
      <c r="O1065" s="2"/>
    </row>
    <row r="1066" spans="1:15" ht="240" customHeight="1" outlineLevel="1" x14ac:dyDescent="0.25">
      <c r="A1066" s="2" t="s">
        <v>178</v>
      </c>
      <c r="B1066" s="2" t="s">
        <v>7867</v>
      </c>
      <c r="C1066" s="2" t="s">
        <v>7868</v>
      </c>
      <c r="D1066" s="2" t="s">
        <v>7869</v>
      </c>
      <c r="E1066" s="3">
        <v>42058</v>
      </c>
      <c r="F1066" s="2" t="s">
        <v>7870</v>
      </c>
      <c r="G1066" s="2" t="s">
        <v>1968</v>
      </c>
      <c r="H1066" s="2" t="s">
        <v>2425</v>
      </c>
      <c r="I1066" s="2" t="s">
        <v>6503</v>
      </c>
      <c r="J1066" s="3">
        <v>42118</v>
      </c>
      <c r="K1066" s="2" t="str">
        <f>HYPERLINK("https://docs.wto.org/imrd/directdoc.asp?DDFDocuments/t/G/SPS/NQAT53.DOC")</f>
        <v>https://docs.wto.org/imrd/directdoc.asp?DDFDocuments/t/G/SPS/NQAT53.DOC</v>
      </c>
      <c r="L1066" s="2" t="str">
        <f>HYPERLINK("https://docs.wto.org/imrd/directdoc.asp?DDFDocuments/u/G/SPS/NQAT53.DOC")</f>
        <v>https://docs.wto.org/imrd/directdoc.asp?DDFDocuments/u/G/SPS/NQAT53.DOC</v>
      </c>
      <c r="M1066" s="2" t="str">
        <f>HYPERLINK("https://docs.wto.org/imrd/directdoc.asp?DDFDocuments/v/G/SPS/NQAT53.DOC")</f>
        <v>https://docs.wto.org/imrd/directdoc.asp?DDFDocuments/v/G/SPS/NQAT53.DOC</v>
      </c>
      <c r="N1066" s="2" t="str">
        <f>HYPERLINK("http://www.epingalert.org/#/details/G/SPS/N/QAT/53")</f>
        <v>http://www.epingalert.org/#/details/G/SPS/N/QAT/53</v>
      </c>
      <c r="O1066" s="2"/>
    </row>
    <row r="1067" spans="1:15" ht="240" customHeight="1" outlineLevel="1" x14ac:dyDescent="0.25">
      <c r="A1067" s="2" t="s">
        <v>42</v>
      </c>
      <c r="B1067" s="2" t="s">
        <v>4534</v>
      </c>
      <c r="C1067" s="2" t="s">
        <v>4535</v>
      </c>
      <c r="D1067" s="2" t="s">
        <v>4536</v>
      </c>
      <c r="E1067" s="3">
        <v>42058</v>
      </c>
      <c r="F1067" s="2" t="s">
        <v>4536</v>
      </c>
      <c r="G1067" s="2"/>
      <c r="H1067" s="2" t="s">
        <v>2425</v>
      </c>
      <c r="I1067" s="2" t="s">
        <v>2453</v>
      </c>
      <c r="J1067" s="3">
        <v>42075</v>
      </c>
      <c r="K1067" s="2" t="str">
        <f>HYPERLINK("https://docs.wto.org/imrd/directdoc.asp?DDFDocuments/t/G/SPS/NBRA1019.DOC")</f>
        <v>https://docs.wto.org/imrd/directdoc.asp?DDFDocuments/t/G/SPS/NBRA1019.DOC</v>
      </c>
      <c r="L1067" s="2" t="str">
        <f>HYPERLINK("https://docs.wto.org/imrd/directdoc.asp?DDFDocuments/u/G/SPS/NBRA1019.DOC")</f>
        <v>https://docs.wto.org/imrd/directdoc.asp?DDFDocuments/u/G/SPS/NBRA1019.DOC</v>
      </c>
      <c r="M1067" s="2" t="str">
        <f>HYPERLINK("https://docs.wto.org/imrd/directdoc.asp?DDFDocuments/v/G/SPS/NBRA1019.DOC")</f>
        <v>https://docs.wto.org/imrd/directdoc.asp?DDFDocuments/v/G/SPS/NBRA1019.DOC</v>
      </c>
      <c r="N1067" s="2" t="str">
        <f>HYPERLINK("http://www.epingalert.org/#/details/G/SPS/N/BRA/1019")</f>
        <v>http://www.epingalert.org/#/details/G/SPS/N/BRA/1019</v>
      </c>
      <c r="O1067" s="2"/>
    </row>
    <row r="1068" spans="1:15" ht="240" customHeight="1" outlineLevel="1" x14ac:dyDescent="0.25">
      <c r="A1068" s="2" t="s">
        <v>42</v>
      </c>
      <c r="B1068" s="2" t="s">
        <v>4537</v>
      </c>
      <c r="C1068" s="2" t="s">
        <v>4538</v>
      </c>
      <c r="D1068" s="2" t="s">
        <v>4539</v>
      </c>
      <c r="E1068" s="3">
        <v>42058</v>
      </c>
      <c r="F1068" s="2" t="s">
        <v>4540</v>
      </c>
      <c r="G1068" s="2"/>
      <c r="H1068" s="2" t="s">
        <v>2425</v>
      </c>
      <c r="I1068" s="2" t="s">
        <v>2453</v>
      </c>
      <c r="J1068" s="3">
        <v>42075</v>
      </c>
      <c r="K1068" s="2" t="str">
        <f>HYPERLINK("https://docs.wto.org/imrd/directdoc.asp?DDFDocuments/t/G/SPS/NBRA1018.DOC")</f>
        <v>https://docs.wto.org/imrd/directdoc.asp?DDFDocuments/t/G/SPS/NBRA1018.DOC</v>
      </c>
      <c r="L1068" s="2" t="str">
        <f>HYPERLINK("https://docs.wto.org/imrd/directdoc.asp?DDFDocuments/u/G/SPS/NBRA1018.DOC")</f>
        <v>https://docs.wto.org/imrd/directdoc.asp?DDFDocuments/u/G/SPS/NBRA1018.DOC</v>
      </c>
      <c r="M1068" s="2" t="str">
        <f>HYPERLINK("https://docs.wto.org/imrd/directdoc.asp?DDFDocuments/v/G/SPS/NBRA1018.DOC")</f>
        <v>https://docs.wto.org/imrd/directdoc.asp?DDFDocuments/v/G/SPS/NBRA1018.DOC</v>
      </c>
      <c r="N1068" s="2" t="str">
        <f>HYPERLINK("http://www.epingalert.org/#/details/G/SPS/N/BRA/1018")</f>
        <v>http://www.epingalert.org/#/details/G/SPS/N/BRA/1018</v>
      </c>
      <c r="O1068" s="2"/>
    </row>
    <row r="1069" spans="1:15" ht="240" customHeight="1" outlineLevel="1" x14ac:dyDescent="0.25">
      <c r="A1069" s="2" t="s">
        <v>12</v>
      </c>
      <c r="B1069" s="2" t="s">
        <v>7863</v>
      </c>
      <c r="C1069" s="2" t="s">
        <v>7864</v>
      </c>
      <c r="D1069" s="2" t="s">
        <v>7865</v>
      </c>
      <c r="E1069" s="3">
        <v>42058</v>
      </c>
      <c r="F1069" s="2" t="s">
        <v>7866</v>
      </c>
      <c r="G1069" s="2" t="s">
        <v>2039</v>
      </c>
      <c r="H1069" s="2" t="s">
        <v>2425</v>
      </c>
      <c r="I1069" s="2" t="s">
        <v>4313</v>
      </c>
      <c r="J1069" s="2"/>
      <c r="K1069" s="2" t="str">
        <f>HYPERLINK("https://docs.wto.org/imrd/directdoc.asp?DDFDocuments/t/G/SPS/NEU119.DOC")</f>
        <v>https://docs.wto.org/imrd/directdoc.asp?DDFDocuments/t/G/SPS/NEU119.DOC</v>
      </c>
      <c r="L1069" s="2" t="str">
        <f>HYPERLINK("https://docs.wto.org/imrd/directdoc.asp?DDFDocuments/u/G/SPS/NEU119.DOC")</f>
        <v>https://docs.wto.org/imrd/directdoc.asp?DDFDocuments/u/G/SPS/NEU119.DOC</v>
      </c>
      <c r="M1069" s="2" t="str">
        <f>HYPERLINK("https://docs.wto.org/imrd/directdoc.asp?DDFDocuments/v/G/SPS/NEU119.DOC")</f>
        <v>https://docs.wto.org/imrd/directdoc.asp?DDFDocuments/v/G/SPS/NEU119.DOC</v>
      </c>
      <c r="N1069" s="2" t="str">
        <f>HYPERLINK("http://www.epingalert.org/#/details/G/SPS/N/EU/119")</f>
        <v>http://www.epingalert.org/#/details/G/SPS/N/EU/119</v>
      </c>
      <c r="O1069" s="2"/>
    </row>
    <row r="1070" spans="1:15" ht="240" customHeight="1" outlineLevel="1" x14ac:dyDescent="0.25">
      <c r="A1070" s="2" t="s">
        <v>1846</v>
      </c>
      <c r="B1070" s="2" t="s">
        <v>7871</v>
      </c>
      <c r="C1070" s="2" t="s">
        <v>7872</v>
      </c>
      <c r="D1070" s="2" t="s">
        <v>7873</v>
      </c>
      <c r="E1070" s="3">
        <v>42055</v>
      </c>
      <c r="F1070" s="2" t="s">
        <v>7874</v>
      </c>
      <c r="G1070" s="2" t="s">
        <v>7875</v>
      </c>
      <c r="H1070" s="2" t="s">
        <v>2425</v>
      </c>
      <c r="I1070" s="2" t="s">
        <v>2426</v>
      </c>
      <c r="J1070" s="3">
        <v>42115</v>
      </c>
      <c r="K1070" s="2" t="str">
        <f>HYPERLINK("https://docs.wto.org/imrd/directdoc.asp?DDFDocuments/t/G/SPS/NALB182.DOC")</f>
        <v>https://docs.wto.org/imrd/directdoc.asp?DDFDocuments/t/G/SPS/NALB182.DOC</v>
      </c>
      <c r="L1070" s="2" t="str">
        <f>HYPERLINK("https://docs.wto.org/imrd/directdoc.asp?DDFDocuments/u/G/SPS/NALB182.DOC")</f>
        <v>https://docs.wto.org/imrd/directdoc.asp?DDFDocuments/u/G/SPS/NALB182.DOC</v>
      </c>
      <c r="M1070" s="2" t="str">
        <f>HYPERLINK("https://docs.wto.org/imrd/directdoc.asp?DDFDocuments/v/G/SPS/NALB182.DOC")</f>
        <v>https://docs.wto.org/imrd/directdoc.asp?DDFDocuments/v/G/SPS/NALB182.DOC</v>
      </c>
      <c r="N1070" s="2" t="str">
        <f>HYPERLINK("http://www.epingalert.org/#/details/G/SPS/N/ALB/182")</f>
        <v>http://www.epingalert.org/#/details/G/SPS/N/ALB/182</v>
      </c>
      <c r="O1070" s="2"/>
    </row>
    <row r="1071" spans="1:15" ht="240" customHeight="1" outlineLevel="1" x14ac:dyDescent="0.25">
      <c r="A1071" s="2" t="s">
        <v>1908</v>
      </c>
      <c r="B1071" s="2" t="s">
        <v>4541</v>
      </c>
      <c r="C1071" s="2"/>
      <c r="D1071" s="2"/>
      <c r="E1071" s="3">
        <v>42055</v>
      </c>
      <c r="F1071" s="2" t="s">
        <v>4542</v>
      </c>
      <c r="G1071" s="2"/>
      <c r="H1071" s="2" t="s">
        <v>2425</v>
      </c>
      <c r="I1071" s="2" t="s">
        <v>2444</v>
      </c>
      <c r="J1071" s="2"/>
      <c r="K1071" s="2" t="str">
        <f>HYPERLINK("https://docs.wto.org/imrd/directdoc.asp?DDFDocuments/t/G/SPS/NCAN636A2.DOC")</f>
        <v>https://docs.wto.org/imrd/directdoc.asp?DDFDocuments/t/G/SPS/NCAN636A2.DOC</v>
      </c>
      <c r="L1071" s="2" t="str">
        <f>HYPERLINK("https://docs.wto.org/imrd/directdoc.asp?DDFDocuments/u/G/SPS/NCAN636A2.DOC")</f>
        <v>https://docs.wto.org/imrd/directdoc.asp?DDFDocuments/u/G/SPS/NCAN636A2.DOC</v>
      </c>
      <c r="M1071" s="2" t="str">
        <f>HYPERLINK("https://docs.wto.org/imrd/directdoc.asp?DDFDocuments/v/G/SPS/NCAN636A2.DOC")</f>
        <v>https://docs.wto.org/imrd/directdoc.asp?DDFDocuments/v/G/SPS/NCAN636A2.DOC</v>
      </c>
      <c r="N1071" s="2" t="str">
        <f>HYPERLINK("http://www.epingalert.org/#/details/G/SPS/N/CAN/636/Add.2")</f>
        <v>http://www.epingalert.org/#/details/G/SPS/N/CAN/636/Add.2</v>
      </c>
      <c r="O1071" s="2"/>
    </row>
    <row r="1072" spans="1:15" ht="240" customHeight="1" outlineLevel="1" x14ac:dyDescent="0.25">
      <c r="A1072" s="2" t="s">
        <v>37</v>
      </c>
      <c r="B1072" s="2" t="s">
        <v>4543</v>
      </c>
      <c r="C1072" s="2" t="s">
        <v>4544</v>
      </c>
      <c r="D1072" s="2" t="s">
        <v>4545</v>
      </c>
      <c r="E1072" s="3">
        <v>42054</v>
      </c>
      <c r="F1072" s="2" t="s">
        <v>62</v>
      </c>
      <c r="G1072" s="2"/>
      <c r="H1072" s="2" t="s">
        <v>2425</v>
      </c>
      <c r="I1072" s="2" t="s">
        <v>4546</v>
      </c>
      <c r="J1072" s="3">
        <v>42114</v>
      </c>
      <c r="K1072" s="2" t="str">
        <f>HYPERLINK("https://docs.wto.org/imrd/directdoc.asp?DDFDocuments/t/G/SPS/NTUR53.DOC")</f>
        <v>https://docs.wto.org/imrd/directdoc.asp?DDFDocuments/t/G/SPS/NTUR53.DOC</v>
      </c>
      <c r="L1072" s="2" t="str">
        <f>HYPERLINK("https://docs.wto.org/imrd/directdoc.asp?DDFDocuments/u/G/SPS/NTUR53.DOC")</f>
        <v>https://docs.wto.org/imrd/directdoc.asp?DDFDocuments/u/G/SPS/NTUR53.DOC</v>
      </c>
      <c r="M1072" s="2" t="str">
        <f>HYPERLINK("https://docs.wto.org/imrd/directdoc.asp?DDFDocuments/v/G/SPS/NTUR53.DOC")</f>
        <v>https://docs.wto.org/imrd/directdoc.asp?DDFDocuments/v/G/SPS/NTUR53.DOC</v>
      </c>
      <c r="N1072" s="2" t="str">
        <f>HYPERLINK("http://www.epingalert.org/#/details/G/SPS/N/TUR/53")</f>
        <v>http://www.epingalert.org/#/details/G/SPS/N/TUR/53</v>
      </c>
      <c r="O1072" s="2"/>
    </row>
    <row r="1073" spans="1:15" ht="240" customHeight="1" outlineLevel="1" x14ac:dyDescent="0.25">
      <c r="A1073" s="2" t="s">
        <v>37</v>
      </c>
      <c r="B1073" s="2" t="s">
        <v>4547</v>
      </c>
      <c r="C1073" s="2" t="s">
        <v>4548</v>
      </c>
      <c r="D1073" s="2" t="s">
        <v>4549</v>
      </c>
      <c r="E1073" s="3">
        <v>42054</v>
      </c>
      <c r="F1073" s="2" t="s">
        <v>4550</v>
      </c>
      <c r="G1073" s="2"/>
      <c r="H1073" s="2" t="s">
        <v>2425</v>
      </c>
      <c r="I1073" s="2" t="s">
        <v>2461</v>
      </c>
      <c r="J1073" s="3">
        <v>42114</v>
      </c>
      <c r="K1073" s="2" t="str">
        <f>HYPERLINK("https://docs.wto.org/imrd/directdoc.asp?DDFDocuments/t/G/SPS/NTUR52.DOC")</f>
        <v>https://docs.wto.org/imrd/directdoc.asp?DDFDocuments/t/G/SPS/NTUR52.DOC</v>
      </c>
      <c r="L1073" s="2" t="str">
        <f>HYPERLINK("https://docs.wto.org/imrd/directdoc.asp?DDFDocuments/u/G/SPS/NTUR52.DOC")</f>
        <v>https://docs.wto.org/imrd/directdoc.asp?DDFDocuments/u/G/SPS/NTUR52.DOC</v>
      </c>
      <c r="M1073" s="2" t="str">
        <f>HYPERLINK("https://docs.wto.org/imrd/directdoc.asp?DDFDocuments/v/G/SPS/NTUR52.DOC")</f>
        <v>https://docs.wto.org/imrd/directdoc.asp?DDFDocuments/v/G/SPS/NTUR52.DOC</v>
      </c>
      <c r="N1073" s="2" t="str">
        <f>HYPERLINK("http://www.epingalert.org/#/details/G/SPS/N/TUR/52")</f>
        <v>http://www.epingalert.org/#/details/G/SPS/N/TUR/52</v>
      </c>
      <c r="O1073" s="2"/>
    </row>
    <row r="1074" spans="1:15" ht="240" customHeight="1" outlineLevel="1" x14ac:dyDescent="0.25">
      <c r="A1074" s="2" t="s">
        <v>1042</v>
      </c>
      <c r="B1074" s="2" t="s">
        <v>7876</v>
      </c>
      <c r="C1074" s="2"/>
      <c r="D1074" s="2"/>
      <c r="E1074" s="3">
        <v>42054</v>
      </c>
      <c r="F1074" s="2" t="s">
        <v>7208</v>
      </c>
      <c r="G1074" s="2" t="s">
        <v>7877</v>
      </c>
      <c r="H1074" s="2" t="s">
        <v>2467</v>
      </c>
      <c r="I1074" s="2" t="s">
        <v>7034</v>
      </c>
      <c r="J1074" s="2"/>
      <c r="K1074" s="2" t="str">
        <f>HYPERLINK("https://docs.wto.org/imrd/directdoc.asp?DDFDocuments/t/G/SPS/NPHL105A1.DOC")</f>
        <v>https://docs.wto.org/imrd/directdoc.asp?DDFDocuments/t/G/SPS/NPHL105A1.DOC</v>
      </c>
      <c r="L1074" s="2" t="str">
        <f>HYPERLINK("https://docs.wto.org/imrd/directdoc.asp?DDFDocuments/u/G/SPS/NPHL105A1.DOC")</f>
        <v>https://docs.wto.org/imrd/directdoc.asp?DDFDocuments/u/G/SPS/NPHL105A1.DOC</v>
      </c>
      <c r="M1074" s="2" t="str">
        <f>HYPERLINK("https://docs.wto.org/imrd/directdoc.asp?DDFDocuments/v/G/SPS/NPHL105A1.DOC")</f>
        <v>https://docs.wto.org/imrd/directdoc.asp?DDFDocuments/v/G/SPS/NPHL105A1.DOC</v>
      </c>
      <c r="N1074" s="2" t="str">
        <f>HYPERLINK("http://www.epingalert.org/#/details/G/SPS/N/PHL/105/Add.1")</f>
        <v>http://www.epingalert.org/#/details/G/SPS/N/PHL/105/Add.1</v>
      </c>
      <c r="O1074" s="2"/>
    </row>
    <row r="1075" spans="1:15" ht="240" customHeight="1" outlineLevel="1" x14ac:dyDescent="0.25">
      <c r="A1075" s="2" t="s">
        <v>380</v>
      </c>
      <c r="B1075" s="2" t="s">
        <v>4551</v>
      </c>
      <c r="C1075" s="2" t="s">
        <v>4552</v>
      </c>
      <c r="D1075" s="8" t="s">
        <v>4553</v>
      </c>
      <c r="E1075" s="3">
        <v>42053</v>
      </c>
      <c r="F1075" s="2" t="s">
        <v>4554</v>
      </c>
      <c r="G1075" s="2"/>
      <c r="H1075" s="2" t="s">
        <v>2425</v>
      </c>
      <c r="I1075" s="2" t="s">
        <v>2801</v>
      </c>
      <c r="J1075" s="3">
        <v>42113</v>
      </c>
      <c r="K1075" s="2" t="str">
        <f>HYPERLINK("https://docs.wto.org/imrd/directdoc.asp?DDFDocuments/t/G/SPS/NCHN121R1.DOC")</f>
        <v>https://docs.wto.org/imrd/directdoc.asp?DDFDocuments/t/G/SPS/NCHN121R1.DOC</v>
      </c>
      <c r="L1075" s="2" t="str">
        <f>HYPERLINK("https://docs.wto.org/imrd/directdoc.asp?DDFDocuments/u/G/SPS/NCHN121R1.DOC")</f>
        <v>https://docs.wto.org/imrd/directdoc.asp?DDFDocuments/u/G/SPS/NCHN121R1.DOC</v>
      </c>
      <c r="M1075" s="2" t="str">
        <f>HYPERLINK("https://docs.wto.org/imrd/directdoc.asp?DDFDocuments/v/G/SPS/NCHN121R1.DOC")</f>
        <v>https://docs.wto.org/imrd/directdoc.asp?DDFDocuments/v/G/SPS/NCHN121R1.DOC</v>
      </c>
      <c r="N1075" s="2" t="str">
        <f>HYPERLINK("http://www.epingalert.org/#/details/G/SPS/N/CHN/121/Rev.1")</f>
        <v>http://www.epingalert.org/#/details/G/SPS/N/CHN/121/Rev.1</v>
      </c>
      <c r="O1075" s="2"/>
    </row>
    <row r="1076" spans="1:15" ht="240" customHeight="1" outlineLevel="1" x14ac:dyDescent="0.25">
      <c r="A1076" s="2" t="s">
        <v>380</v>
      </c>
      <c r="B1076" s="2" t="s">
        <v>4555</v>
      </c>
      <c r="C1076" s="2" t="s">
        <v>4556</v>
      </c>
      <c r="D1076" s="2" t="s">
        <v>4557</v>
      </c>
      <c r="E1076" s="3">
        <v>42053</v>
      </c>
      <c r="F1076" s="2" t="s">
        <v>4558</v>
      </c>
      <c r="G1076" s="2"/>
      <c r="H1076" s="2" t="s">
        <v>2425</v>
      </c>
      <c r="I1076" s="2" t="s">
        <v>2461</v>
      </c>
      <c r="J1076" s="3">
        <v>42113</v>
      </c>
      <c r="K1076" s="2" t="str">
        <f>HYPERLINK("https://docs.wto.org/imrd/directdoc.asp?DDFDocuments/t/G/SPS/NCHN874.DOC")</f>
        <v>https://docs.wto.org/imrd/directdoc.asp?DDFDocuments/t/G/SPS/NCHN874.DOC</v>
      </c>
      <c r="L1076" s="2" t="str">
        <f>HYPERLINK("https://docs.wto.org/imrd/directdoc.asp?DDFDocuments/u/G/SPS/NCHN874.DOC")</f>
        <v>https://docs.wto.org/imrd/directdoc.asp?DDFDocuments/u/G/SPS/NCHN874.DOC</v>
      </c>
      <c r="M1076" s="2" t="str">
        <f>HYPERLINK("https://docs.wto.org/imrd/directdoc.asp?DDFDocuments/v/G/SPS/NCHN874.DOC")</f>
        <v>https://docs.wto.org/imrd/directdoc.asp?DDFDocuments/v/G/SPS/NCHN874.DOC</v>
      </c>
      <c r="N1076" s="2" t="str">
        <f>HYPERLINK("http://www.epingalert.org/#/details/G/SPS/N/CHN/874")</f>
        <v>http://www.epingalert.org/#/details/G/SPS/N/CHN/874</v>
      </c>
      <c r="O1076" s="2"/>
    </row>
    <row r="1077" spans="1:15" ht="240" customHeight="1" outlineLevel="1" x14ac:dyDescent="0.25">
      <c r="A1077" s="2" t="s">
        <v>380</v>
      </c>
      <c r="B1077" s="2" t="s">
        <v>4559</v>
      </c>
      <c r="C1077" s="2" t="s">
        <v>4560</v>
      </c>
      <c r="D1077" s="2" t="s">
        <v>4561</v>
      </c>
      <c r="E1077" s="3">
        <v>42053</v>
      </c>
      <c r="F1077" s="2" t="s">
        <v>4562</v>
      </c>
      <c r="G1077" s="2"/>
      <c r="H1077" s="2" t="s">
        <v>2425</v>
      </c>
      <c r="I1077" s="2" t="s">
        <v>2461</v>
      </c>
      <c r="J1077" s="3">
        <v>42113</v>
      </c>
      <c r="K1077" s="2" t="str">
        <f>HYPERLINK("https://docs.wto.org/imrd/directdoc.asp?DDFDocuments/t/G/SPS/NCHN873.DOC")</f>
        <v>https://docs.wto.org/imrd/directdoc.asp?DDFDocuments/t/G/SPS/NCHN873.DOC</v>
      </c>
      <c r="L1077" s="2" t="str">
        <f>HYPERLINK("https://docs.wto.org/imrd/directdoc.asp?DDFDocuments/u/G/SPS/NCHN873.DOC")</f>
        <v>https://docs.wto.org/imrd/directdoc.asp?DDFDocuments/u/G/SPS/NCHN873.DOC</v>
      </c>
      <c r="M1077" s="2" t="str">
        <f>HYPERLINK("https://docs.wto.org/imrd/directdoc.asp?DDFDocuments/v/G/SPS/NCHN873.DOC")</f>
        <v>https://docs.wto.org/imrd/directdoc.asp?DDFDocuments/v/G/SPS/NCHN873.DOC</v>
      </c>
      <c r="N1077" s="2" t="str">
        <f>HYPERLINK("http://www.epingalert.org/#/details/G/SPS/N/CHN/873")</f>
        <v>http://www.epingalert.org/#/details/G/SPS/N/CHN/873</v>
      </c>
      <c r="O1077" s="2"/>
    </row>
    <row r="1078" spans="1:15" ht="240" customHeight="1" outlineLevel="1" x14ac:dyDescent="0.25">
      <c r="A1078" s="2" t="s">
        <v>380</v>
      </c>
      <c r="B1078" s="2" t="s">
        <v>4563</v>
      </c>
      <c r="C1078" s="2" t="s">
        <v>4564</v>
      </c>
      <c r="D1078" s="2" t="s">
        <v>4565</v>
      </c>
      <c r="E1078" s="3">
        <v>42053</v>
      </c>
      <c r="F1078" s="2" t="s">
        <v>4566</v>
      </c>
      <c r="G1078" s="2"/>
      <c r="H1078" s="2" t="s">
        <v>2425</v>
      </c>
      <c r="I1078" s="2" t="s">
        <v>2461</v>
      </c>
      <c r="J1078" s="3">
        <v>42113</v>
      </c>
      <c r="K1078" s="2" t="str">
        <f>HYPERLINK("https://docs.wto.org/imrd/directdoc.asp?DDFDocuments/t/G/SPS/NCHN872.DOC")</f>
        <v>https://docs.wto.org/imrd/directdoc.asp?DDFDocuments/t/G/SPS/NCHN872.DOC</v>
      </c>
      <c r="L1078" s="2" t="str">
        <f>HYPERLINK("https://docs.wto.org/imrd/directdoc.asp?DDFDocuments/u/G/SPS/NCHN872.DOC")</f>
        <v>https://docs.wto.org/imrd/directdoc.asp?DDFDocuments/u/G/SPS/NCHN872.DOC</v>
      </c>
      <c r="M1078" s="2" t="str">
        <f>HYPERLINK("https://docs.wto.org/imrd/directdoc.asp?DDFDocuments/v/G/SPS/NCHN872.DOC")</f>
        <v>https://docs.wto.org/imrd/directdoc.asp?DDFDocuments/v/G/SPS/NCHN872.DOC</v>
      </c>
      <c r="N1078" s="2" t="str">
        <f>HYPERLINK("http://www.epingalert.org/#/details/G/SPS/N/CHN/872")</f>
        <v>http://www.epingalert.org/#/details/G/SPS/N/CHN/872</v>
      </c>
      <c r="O1078" s="2"/>
    </row>
    <row r="1079" spans="1:15" ht="240" customHeight="1" outlineLevel="1" x14ac:dyDescent="0.25">
      <c r="A1079" s="2" t="s">
        <v>380</v>
      </c>
      <c r="B1079" s="2" t="s">
        <v>4567</v>
      </c>
      <c r="C1079" s="2" t="s">
        <v>4568</v>
      </c>
      <c r="D1079" s="2" t="s">
        <v>4569</v>
      </c>
      <c r="E1079" s="3">
        <v>42053</v>
      </c>
      <c r="F1079" s="2" t="s">
        <v>4570</v>
      </c>
      <c r="G1079" s="2"/>
      <c r="H1079" s="2" t="s">
        <v>2425</v>
      </c>
      <c r="I1079" s="2" t="s">
        <v>2461</v>
      </c>
      <c r="J1079" s="3">
        <v>42113</v>
      </c>
      <c r="K1079" s="2" t="str">
        <f>HYPERLINK("https://docs.wto.org/imrd/directdoc.asp?DDFDocuments/t/G/SPS/NCHN871.DOC")</f>
        <v>https://docs.wto.org/imrd/directdoc.asp?DDFDocuments/t/G/SPS/NCHN871.DOC</v>
      </c>
      <c r="L1079" s="2" t="str">
        <f>HYPERLINK("https://docs.wto.org/imrd/directdoc.asp?DDFDocuments/u/G/SPS/NCHN871.DOC")</f>
        <v>https://docs.wto.org/imrd/directdoc.asp?DDFDocuments/u/G/SPS/NCHN871.DOC</v>
      </c>
      <c r="M1079" s="2" t="str">
        <f>HYPERLINK("https://docs.wto.org/imrd/directdoc.asp?DDFDocuments/v/G/SPS/NCHN871.DOC")</f>
        <v>https://docs.wto.org/imrd/directdoc.asp?DDFDocuments/v/G/SPS/NCHN871.DOC</v>
      </c>
      <c r="N1079" s="2" t="str">
        <f>HYPERLINK("http://www.epingalert.org/#/details/G/SPS/N/CHN/871")</f>
        <v>http://www.epingalert.org/#/details/G/SPS/N/CHN/871</v>
      </c>
      <c r="O1079" s="2"/>
    </row>
    <row r="1080" spans="1:15" ht="240" customHeight="1" outlineLevel="1" x14ac:dyDescent="0.25">
      <c r="A1080" s="2" t="s">
        <v>380</v>
      </c>
      <c r="B1080" s="2" t="s">
        <v>4571</v>
      </c>
      <c r="C1080" s="2" t="s">
        <v>4572</v>
      </c>
      <c r="D1080" s="2" t="s">
        <v>4573</v>
      </c>
      <c r="E1080" s="3">
        <v>42053</v>
      </c>
      <c r="F1080" s="2" t="s">
        <v>4574</v>
      </c>
      <c r="G1080" s="2"/>
      <c r="H1080" s="2" t="s">
        <v>2425</v>
      </c>
      <c r="I1080" s="2" t="s">
        <v>2461</v>
      </c>
      <c r="J1080" s="3">
        <v>42113</v>
      </c>
      <c r="K1080" s="2" t="str">
        <f>HYPERLINK("https://docs.wto.org/imrd/directdoc.asp?DDFDocuments/t/G/SPS/NCHN870.DOC")</f>
        <v>https://docs.wto.org/imrd/directdoc.asp?DDFDocuments/t/G/SPS/NCHN870.DOC</v>
      </c>
      <c r="L1080" s="2" t="str">
        <f>HYPERLINK("https://docs.wto.org/imrd/directdoc.asp?DDFDocuments/u/G/SPS/NCHN870.DOC")</f>
        <v>https://docs.wto.org/imrd/directdoc.asp?DDFDocuments/u/G/SPS/NCHN870.DOC</v>
      </c>
      <c r="M1080" s="2" t="str">
        <f>HYPERLINK("https://docs.wto.org/imrd/directdoc.asp?DDFDocuments/v/G/SPS/NCHN870.DOC")</f>
        <v>https://docs.wto.org/imrd/directdoc.asp?DDFDocuments/v/G/SPS/NCHN870.DOC</v>
      </c>
      <c r="N1080" s="2" t="str">
        <f>HYPERLINK("http://www.epingalert.org/#/details/G/SPS/N/CHN/870")</f>
        <v>http://www.epingalert.org/#/details/G/SPS/N/CHN/870</v>
      </c>
      <c r="O1080" s="2"/>
    </row>
    <row r="1081" spans="1:15" ht="240" customHeight="1" outlineLevel="1" x14ac:dyDescent="0.25">
      <c r="A1081" s="2" t="s">
        <v>380</v>
      </c>
      <c r="B1081" s="2" t="s">
        <v>4575</v>
      </c>
      <c r="C1081" s="2" t="s">
        <v>4576</v>
      </c>
      <c r="D1081" s="2" t="s">
        <v>4577</v>
      </c>
      <c r="E1081" s="3">
        <v>42053</v>
      </c>
      <c r="F1081" s="2" t="s">
        <v>4578</v>
      </c>
      <c r="G1081" s="2"/>
      <c r="H1081" s="2" t="s">
        <v>2425</v>
      </c>
      <c r="I1081" s="2" t="s">
        <v>2461</v>
      </c>
      <c r="J1081" s="3">
        <v>42113</v>
      </c>
      <c r="K1081" s="2" t="str">
        <f>HYPERLINK("https://docs.wto.org/imrd/directdoc.asp?DDFDocuments/t/G/SPS/NCHN869.DOC")</f>
        <v>https://docs.wto.org/imrd/directdoc.asp?DDFDocuments/t/G/SPS/NCHN869.DOC</v>
      </c>
      <c r="L1081" s="2" t="str">
        <f>HYPERLINK("https://docs.wto.org/imrd/directdoc.asp?DDFDocuments/u/G/SPS/NCHN869.DOC")</f>
        <v>https://docs.wto.org/imrd/directdoc.asp?DDFDocuments/u/G/SPS/NCHN869.DOC</v>
      </c>
      <c r="M1081" s="2" t="str">
        <f>HYPERLINK("https://docs.wto.org/imrd/directdoc.asp?DDFDocuments/v/G/SPS/NCHN869.DOC")</f>
        <v>https://docs.wto.org/imrd/directdoc.asp?DDFDocuments/v/G/SPS/NCHN869.DOC</v>
      </c>
      <c r="N1081" s="2" t="str">
        <f>HYPERLINK("http://www.epingalert.org/#/details/G/SPS/N/CHN/869")</f>
        <v>http://www.epingalert.org/#/details/G/SPS/N/CHN/869</v>
      </c>
      <c r="O1081" s="2"/>
    </row>
    <row r="1082" spans="1:15" ht="240" customHeight="1" outlineLevel="1" x14ac:dyDescent="0.25">
      <c r="A1082" s="2" t="s">
        <v>380</v>
      </c>
      <c r="B1082" s="2" t="s">
        <v>4579</v>
      </c>
      <c r="C1082" s="2" t="s">
        <v>4580</v>
      </c>
      <c r="D1082" s="2" t="s">
        <v>4581</v>
      </c>
      <c r="E1082" s="3">
        <v>42053</v>
      </c>
      <c r="F1082" s="2" t="s">
        <v>4582</v>
      </c>
      <c r="G1082" s="2"/>
      <c r="H1082" s="2" t="s">
        <v>2425</v>
      </c>
      <c r="I1082" s="2" t="s">
        <v>2461</v>
      </c>
      <c r="J1082" s="3">
        <v>42113</v>
      </c>
      <c r="K1082" s="2" t="str">
        <f>HYPERLINK("https://docs.wto.org/imrd/directdoc.asp?DDFDocuments/t/G/SPS/NCHN868.DOC")</f>
        <v>https://docs.wto.org/imrd/directdoc.asp?DDFDocuments/t/G/SPS/NCHN868.DOC</v>
      </c>
      <c r="L1082" s="2" t="str">
        <f>HYPERLINK("https://docs.wto.org/imrd/directdoc.asp?DDFDocuments/u/G/SPS/NCHN868.DOC")</f>
        <v>https://docs.wto.org/imrd/directdoc.asp?DDFDocuments/u/G/SPS/NCHN868.DOC</v>
      </c>
      <c r="M1082" s="2" t="str">
        <f>HYPERLINK("https://docs.wto.org/imrd/directdoc.asp?DDFDocuments/v/G/SPS/NCHN868.DOC")</f>
        <v>https://docs.wto.org/imrd/directdoc.asp?DDFDocuments/v/G/SPS/NCHN868.DOC</v>
      </c>
      <c r="N1082" s="2" t="str">
        <f>HYPERLINK("http://www.epingalert.org/#/details/G/SPS/N/CHN/868")</f>
        <v>http://www.epingalert.org/#/details/G/SPS/N/CHN/868</v>
      </c>
      <c r="O1082" s="2"/>
    </row>
    <row r="1083" spans="1:15" ht="240" customHeight="1" outlineLevel="1" x14ac:dyDescent="0.25">
      <c r="A1083" s="2" t="s">
        <v>380</v>
      </c>
      <c r="B1083" s="2" t="s">
        <v>4583</v>
      </c>
      <c r="C1083" s="2" t="s">
        <v>4584</v>
      </c>
      <c r="D1083" s="2" t="s">
        <v>4585</v>
      </c>
      <c r="E1083" s="3">
        <v>42053</v>
      </c>
      <c r="F1083" s="2" t="s">
        <v>4586</v>
      </c>
      <c r="G1083" s="2"/>
      <c r="H1083" s="2" t="s">
        <v>2425</v>
      </c>
      <c r="I1083" s="2" t="s">
        <v>2461</v>
      </c>
      <c r="J1083" s="3">
        <v>42113</v>
      </c>
      <c r="K1083" s="2" t="str">
        <f>HYPERLINK("https://docs.wto.org/imrd/directdoc.asp?DDFDocuments/t/G/SPS/NCHN867.DOC")</f>
        <v>https://docs.wto.org/imrd/directdoc.asp?DDFDocuments/t/G/SPS/NCHN867.DOC</v>
      </c>
      <c r="L1083" s="2" t="str">
        <f>HYPERLINK("https://docs.wto.org/imrd/directdoc.asp?DDFDocuments/u/G/SPS/NCHN867.DOC")</f>
        <v>https://docs.wto.org/imrd/directdoc.asp?DDFDocuments/u/G/SPS/NCHN867.DOC</v>
      </c>
      <c r="M1083" s="2" t="str">
        <f>HYPERLINK("https://docs.wto.org/imrd/directdoc.asp?DDFDocuments/v/G/SPS/NCHN867.DOC")</f>
        <v>https://docs.wto.org/imrd/directdoc.asp?DDFDocuments/v/G/SPS/NCHN867.DOC</v>
      </c>
      <c r="N1083" s="2" t="str">
        <f>HYPERLINK("http://www.epingalert.org/#/details/G/SPS/N/CHN/867")</f>
        <v>http://www.epingalert.org/#/details/G/SPS/N/CHN/867</v>
      </c>
      <c r="O1083" s="2"/>
    </row>
    <row r="1084" spans="1:15" ht="240" customHeight="1" outlineLevel="1" x14ac:dyDescent="0.25">
      <c r="A1084" s="2" t="s">
        <v>380</v>
      </c>
      <c r="B1084" s="2" t="s">
        <v>4587</v>
      </c>
      <c r="C1084" s="2" t="s">
        <v>4588</v>
      </c>
      <c r="D1084" s="2" t="s">
        <v>4589</v>
      </c>
      <c r="E1084" s="3">
        <v>42053</v>
      </c>
      <c r="F1084" s="2" t="s">
        <v>4590</v>
      </c>
      <c r="G1084" s="2"/>
      <c r="H1084" s="2" t="s">
        <v>2425</v>
      </c>
      <c r="I1084" s="2" t="s">
        <v>2461</v>
      </c>
      <c r="J1084" s="3">
        <v>42113</v>
      </c>
      <c r="K1084" s="2" t="str">
        <f>HYPERLINK("https://docs.wto.org/imrd/directdoc.asp?DDFDocuments/t/G/SPS/NCHN866.DOC")</f>
        <v>https://docs.wto.org/imrd/directdoc.asp?DDFDocuments/t/G/SPS/NCHN866.DOC</v>
      </c>
      <c r="L1084" s="2" t="str">
        <f>HYPERLINK("https://docs.wto.org/imrd/directdoc.asp?DDFDocuments/u/G/SPS/NCHN866.DOC")</f>
        <v>https://docs.wto.org/imrd/directdoc.asp?DDFDocuments/u/G/SPS/NCHN866.DOC</v>
      </c>
      <c r="M1084" s="2" t="str">
        <f>HYPERLINK("https://docs.wto.org/imrd/directdoc.asp?DDFDocuments/v/G/SPS/NCHN866.DOC")</f>
        <v>https://docs.wto.org/imrd/directdoc.asp?DDFDocuments/v/G/SPS/NCHN866.DOC</v>
      </c>
      <c r="N1084" s="2" t="str">
        <f>HYPERLINK("http://www.epingalert.org/#/details/G/SPS/N/CHN/866")</f>
        <v>http://www.epingalert.org/#/details/G/SPS/N/CHN/866</v>
      </c>
      <c r="O1084" s="2"/>
    </row>
    <row r="1085" spans="1:15" ht="240" customHeight="1" outlineLevel="1" x14ac:dyDescent="0.25">
      <c r="A1085" s="2" t="s">
        <v>380</v>
      </c>
      <c r="B1085" s="2" t="s">
        <v>4591</v>
      </c>
      <c r="C1085" s="2" t="s">
        <v>4592</v>
      </c>
      <c r="D1085" s="2" t="s">
        <v>4593</v>
      </c>
      <c r="E1085" s="3">
        <v>42053</v>
      </c>
      <c r="F1085" s="2" t="s">
        <v>4594</v>
      </c>
      <c r="G1085" s="2"/>
      <c r="H1085" s="2" t="s">
        <v>2425</v>
      </c>
      <c r="I1085" s="2" t="s">
        <v>2461</v>
      </c>
      <c r="J1085" s="3">
        <v>42113</v>
      </c>
      <c r="K1085" s="2" t="str">
        <f>HYPERLINK("https://docs.wto.org/imrd/directdoc.asp?DDFDocuments/t/G/SPS/NCHN865.DOC")</f>
        <v>https://docs.wto.org/imrd/directdoc.asp?DDFDocuments/t/G/SPS/NCHN865.DOC</v>
      </c>
      <c r="L1085" s="2" t="str">
        <f>HYPERLINK("https://docs.wto.org/imrd/directdoc.asp?DDFDocuments/u/G/SPS/NCHN865.DOC")</f>
        <v>https://docs.wto.org/imrd/directdoc.asp?DDFDocuments/u/G/SPS/NCHN865.DOC</v>
      </c>
      <c r="M1085" s="2" t="str">
        <f>HYPERLINK("https://docs.wto.org/imrd/directdoc.asp?DDFDocuments/v/G/SPS/NCHN865.DOC")</f>
        <v>https://docs.wto.org/imrd/directdoc.asp?DDFDocuments/v/G/SPS/NCHN865.DOC</v>
      </c>
      <c r="N1085" s="2" t="str">
        <f>HYPERLINK("http://www.epingalert.org/#/details/G/SPS/N/CHN/865")</f>
        <v>http://www.epingalert.org/#/details/G/SPS/N/CHN/865</v>
      </c>
      <c r="O1085" s="2"/>
    </row>
    <row r="1086" spans="1:15" ht="240" customHeight="1" outlineLevel="1" x14ac:dyDescent="0.25">
      <c r="A1086" s="2" t="s">
        <v>181</v>
      </c>
      <c r="B1086" s="2" t="s">
        <v>4595</v>
      </c>
      <c r="C1086" s="2" t="s">
        <v>4596</v>
      </c>
      <c r="D1086" s="2" t="s">
        <v>4597</v>
      </c>
      <c r="E1086" s="3">
        <v>42053</v>
      </c>
      <c r="F1086" s="2" t="e">
        <f>- All imported food - Specific certificates for animals: animal products (meat and its derivatives) - Birds products and derivatives products - Fish and Fish products and their derivatives - Phytosanitary: plant products and their derivatives and products</f>
        <v>#NAME?</v>
      </c>
      <c r="G1086" s="2"/>
      <c r="H1086" s="2" t="s">
        <v>3092</v>
      </c>
      <c r="I1086" s="2" t="s">
        <v>4598</v>
      </c>
      <c r="J1086" s="2"/>
      <c r="K1086" s="2" t="str">
        <f>HYPERLINK("https://docs.wto.org/imrd/directdoc.asp?DDFDocuments/t/G/SPS/NBHR155.DOC")</f>
        <v>https://docs.wto.org/imrd/directdoc.asp?DDFDocuments/t/G/SPS/NBHR155.DOC</v>
      </c>
      <c r="L1086" s="2" t="str">
        <f>HYPERLINK("https://docs.wto.org/imrd/directdoc.asp?DDFDocuments/u/G/SPS/NBHR155.DOC")</f>
        <v>https://docs.wto.org/imrd/directdoc.asp?DDFDocuments/u/G/SPS/NBHR155.DOC</v>
      </c>
      <c r="M1086" s="2" t="str">
        <f>HYPERLINK("https://docs.wto.org/imrd/directdoc.asp?DDFDocuments/v/G/SPS/NBHR155.DOC")</f>
        <v>https://docs.wto.org/imrd/directdoc.asp?DDFDocuments/v/G/SPS/NBHR155.DOC</v>
      </c>
      <c r="N1086" s="2" t="str">
        <f>HYPERLINK("http://www.epingalert.org/#/details/G/SPS/N/BHR/155")</f>
        <v>http://www.epingalert.org/#/details/G/SPS/N/BHR/155</v>
      </c>
      <c r="O1086" s="2"/>
    </row>
    <row r="1087" spans="1:15" ht="240" customHeight="1" outlineLevel="1" x14ac:dyDescent="0.25">
      <c r="A1087" s="2" t="s">
        <v>225</v>
      </c>
      <c r="B1087" s="2" t="s">
        <v>4603</v>
      </c>
      <c r="C1087" s="2" t="s">
        <v>4604</v>
      </c>
      <c r="D1087" s="2" t="s">
        <v>2494</v>
      </c>
      <c r="E1087" s="3">
        <v>42052</v>
      </c>
      <c r="F1087" s="2" t="s">
        <v>2430</v>
      </c>
      <c r="G1087" s="2"/>
      <c r="H1087" s="2" t="s">
        <v>2425</v>
      </c>
      <c r="I1087" s="2" t="s">
        <v>2431</v>
      </c>
      <c r="J1087" s="3">
        <v>42115</v>
      </c>
      <c r="K1087" s="2" t="str">
        <f>HYPERLINK("https://docs.wto.org/imrd/directdoc.asp?DDFDocuments/t/G/SPS/NAUS354.DOC")</f>
        <v>https://docs.wto.org/imrd/directdoc.asp?DDFDocuments/t/G/SPS/NAUS354.DOC</v>
      </c>
      <c r="L1087" s="2" t="str">
        <f>HYPERLINK("https://docs.wto.org/imrd/directdoc.asp?DDFDocuments/u/G/SPS/NAUS354.DOC")</f>
        <v>https://docs.wto.org/imrd/directdoc.asp?DDFDocuments/u/G/SPS/NAUS354.DOC</v>
      </c>
      <c r="M1087" s="2" t="str">
        <f>HYPERLINK("https://docs.wto.org/imrd/directdoc.asp?DDFDocuments/v/G/SPS/NAUS354.DOC")</f>
        <v>https://docs.wto.org/imrd/directdoc.asp?DDFDocuments/v/G/SPS/NAUS354.DOC</v>
      </c>
      <c r="N1087" s="2" t="str">
        <f>HYPERLINK("http://www.epingalert.org/#/details/G/SPS/N/AUS/354")</f>
        <v>http://www.epingalert.org/#/details/G/SPS/N/AUS/354</v>
      </c>
      <c r="O1087" s="2"/>
    </row>
    <row r="1088" spans="1:15" ht="240" customHeight="1" outlineLevel="1" x14ac:dyDescent="0.25">
      <c r="A1088" s="2" t="s">
        <v>380</v>
      </c>
      <c r="B1088" s="2" t="s">
        <v>4599</v>
      </c>
      <c r="C1088" s="2" t="s">
        <v>4600</v>
      </c>
      <c r="D1088" s="2" t="s">
        <v>4601</v>
      </c>
      <c r="E1088" s="3">
        <v>42052</v>
      </c>
      <c r="F1088" s="2" t="s">
        <v>4602</v>
      </c>
      <c r="G1088" s="2"/>
      <c r="H1088" s="2" t="s">
        <v>2425</v>
      </c>
      <c r="I1088" s="2" t="s">
        <v>2426</v>
      </c>
      <c r="J1088" s="3">
        <v>42112</v>
      </c>
      <c r="K1088" s="2" t="str">
        <f>HYPERLINK("https://docs.wto.org/imrd/directdoc.asp?DDFDocuments/t/G/SPS/NCHN864.DOC")</f>
        <v>https://docs.wto.org/imrd/directdoc.asp?DDFDocuments/t/G/SPS/NCHN864.DOC</v>
      </c>
      <c r="L1088" s="2" t="str">
        <f>HYPERLINK("https://docs.wto.org/imrd/directdoc.asp?DDFDocuments/u/G/SPS/NCHN864.DOC")</f>
        <v>https://docs.wto.org/imrd/directdoc.asp?DDFDocuments/u/G/SPS/NCHN864.DOC</v>
      </c>
      <c r="M1088" s="2" t="str">
        <f>HYPERLINK("https://docs.wto.org/imrd/directdoc.asp?DDFDocuments/v/G/SPS/NCHN864.DOC")</f>
        <v>https://docs.wto.org/imrd/directdoc.asp?DDFDocuments/v/G/SPS/NCHN864.DOC</v>
      </c>
      <c r="N1088" s="2" t="str">
        <f>HYPERLINK("http://www.epingalert.org/#/details/G/SPS/N/CHN/864")</f>
        <v>http://www.epingalert.org/#/details/G/SPS/N/CHN/864</v>
      </c>
      <c r="O1088" s="2"/>
    </row>
    <row r="1089" spans="1:15" ht="240" customHeight="1" outlineLevel="1" x14ac:dyDescent="0.25">
      <c r="A1089" s="2" t="s">
        <v>380</v>
      </c>
      <c r="B1089" s="2" t="s">
        <v>7878</v>
      </c>
      <c r="C1089" s="2"/>
      <c r="D1089" s="2"/>
      <c r="E1089" s="3">
        <v>42052</v>
      </c>
      <c r="F1089" s="2" t="s">
        <v>7879</v>
      </c>
      <c r="G1089" s="2" t="s">
        <v>7880</v>
      </c>
      <c r="H1089" s="2" t="s">
        <v>2425</v>
      </c>
      <c r="I1089" s="2" t="s">
        <v>2491</v>
      </c>
      <c r="J1089" s="3">
        <v>42112</v>
      </c>
      <c r="K1089" s="2" t="str">
        <f>HYPERLINK("https://docs.wto.org/imrd/directdoc.asp?DDFDocuments/t/G/SPS/NCHN627A1.DOC")</f>
        <v>https://docs.wto.org/imrd/directdoc.asp?DDFDocuments/t/G/SPS/NCHN627A1.DOC</v>
      </c>
      <c r="L1089" s="2" t="str">
        <f>HYPERLINK("https://docs.wto.org/imrd/directdoc.asp?DDFDocuments/u/G/SPS/NCHN627A1.DOC")</f>
        <v>https://docs.wto.org/imrd/directdoc.asp?DDFDocuments/u/G/SPS/NCHN627A1.DOC</v>
      </c>
      <c r="M1089" s="2" t="str">
        <f>HYPERLINK("https://docs.wto.org/imrd/directdoc.asp?DDFDocuments/v/G/SPS/NCHN627A1.DOC")</f>
        <v>https://docs.wto.org/imrd/directdoc.asp?DDFDocuments/v/G/SPS/NCHN627A1.DOC</v>
      </c>
      <c r="N1089" s="2" t="str">
        <f>HYPERLINK("http://www.epingalert.org/#/details/G/SPS/N/CHN/627/Add.1")</f>
        <v>http://www.epingalert.org/#/details/G/SPS/N/CHN/627/Add.1</v>
      </c>
      <c r="O1089" s="2"/>
    </row>
    <row r="1090" spans="1:15" ht="240" customHeight="1" outlineLevel="1" x14ac:dyDescent="0.25">
      <c r="A1090" s="2" t="s">
        <v>77</v>
      </c>
      <c r="B1090" s="2" t="s">
        <v>7881</v>
      </c>
      <c r="C1090" s="2" t="s">
        <v>7882</v>
      </c>
      <c r="D1090" s="2" t="s">
        <v>7883</v>
      </c>
      <c r="E1090" s="3">
        <v>42052</v>
      </c>
      <c r="F1090" s="2" t="s">
        <v>7551</v>
      </c>
      <c r="G1090" s="2" t="s">
        <v>7552</v>
      </c>
      <c r="H1090" s="2" t="s">
        <v>2425</v>
      </c>
      <c r="I1090" s="2" t="s">
        <v>2461</v>
      </c>
      <c r="J1090" s="3">
        <v>42112</v>
      </c>
      <c r="K1090" s="2" t="str">
        <f>HYPERLINK("https://docs.wto.org/imrd/directdoc.asp?DDFDocuments/t/G/SPS/NTPKM349.DOC")</f>
        <v>https://docs.wto.org/imrd/directdoc.asp?DDFDocuments/t/G/SPS/NTPKM349.DOC</v>
      </c>
      <c r="L1090" s="2" t="str">
        <f>HYPERLINK("https://docs.wto.org/imrd/directdoc.asp?DDFDocuments/u/G/SPS/NTPKM349.DOC")</f>
        <v>https://docs.wto.org/imrd/directdoc.asp?DDFDocuments/u/G/SPS/NTPKM349.DOC</v>
      </c>
      <c r="M1090" s="2" t="str">
        <f>HYPERLINK("https://docs.wto.org/imrd/directdoc.asp?DDFDocuments/v/G/SPS/NTPKM349.DOC")</f>
        <v>https://docs.wto.org/imrd/directdoc.asp?DDFDocuments/v/G/SPS/NTPKM349.DOC</v>
      </c>
      <c r="N1090" s="2" t="str">
        <f>HYPERLINK("http://www.epingalert.org/#/details/G/SPS/N/TPKM/349")</f>
        <v>http://www.epingalert.org/#/details/G/SPS/N/TPKM/349</v>
      </c>
      <c r="O1090" s="2"/>
    </row>
    <row r="1091" spans="1:15" ht="240" customHeight="1" outlineLevel="1" x14ac:dyDescent="0.25">
      <c r="A1091" s="2" t="s">
        <v>121</v>
      </c>
      <c r="B1091" s="2" t="s">
        <v>4605</v>
      </c>
      <c r="C1091" s="2" t="s">
        <v>4606</v>
      </c>
      <c r="D1091" s="2" t="s">
        <v>4607</v>
      </c>
      <c r="E1091" s="3">
        <v>42051</v>
      </c>
      <c r="F1091" s="2" t="s">
        <v>4608</v>
      </c>
      <c r="G1091" s="2" t="s">
        <v>4609</v>
      </c>
      <c r="H1091" s="2" t="s">
        <v>2425</v>
      </c>
      <c r="I1091" s="2" t="s">
        <v>2566</v>
      </c>
      <c r="J1091" s="3">
        <v>42111</v>
      </c>
      <c r="K1091" s="2" t="str">
        <f>HYPERLINK("https://docs.wto.org/imrd/directdoc.asp?DDFDocuments/t/G/SPS/NIND96.DOC")</f>
        <v>https://docs.wto.org/imrd/directdoc.asp?DDFDocuments/t/G/SPS/NIND96.DOC</v>
      </c>
      <c r="L1091" s="2" t="str">
        <f>HYPERLINK("https://docs.wto.org/imrd/directdoc.asp?DDFDocuments/u/G/SPS/NIND96.DOC")</f>
        <v>https://docs.wto.org/imrd/directdoc.asp?DDFDocuments/u/G/SPS/NIND96.DOC</v>
      </c>
      <c r="M1091" s="2" t="str">
        <f>HYPERLINK("https://docs.wto.org/imrd/directdoc.asp?DDFDocuments/v/G/SPS/NIND96.DOC")</f>
        <v>https://docs.wto.org/imrd/directdoc.asp?DDFDocuments/v/G/SPS/NIND96.DOC</v>
      </c>
      <c r="N1091" s="2" t="str">
        <f>HYPERLINK("http://www.epingalert.org/#/details/G/SPS/N/IND/96")</f>
        <v>http://www.epingalert.org/#/details/G/SPS/N/IND/96</v>
      </c>
      <c r="O1091" s="2"/>
    </row>
    <row r="1092" spans="1:15" ht="240" customHeight="1" outlineLevel="1" x14ac:dyDescent="0.25">
      <c r="A1092" s="2" t="s">
        <v>380</v>
      </c>
      <c r="B1092" s="2" t="s">
        <v>4610</v>
      </c>
      <c r="C1092" s="2" t="s">
        <v>4611</v>
      </c>
      <c r="D1092" s="2" t="s">
        <v>4612</v>
      </c>
      <c r="E1092" s="3">
        <v>42051</v>
      </c>
      <c r="F1092" s="2" t="s">
        <v>4613</v>
      </c>
      <c r="G1092" s="2"/>
      <c r="H1092" s="2" t="s">
        <v>2425</v>
      </c>
      <c r="I1092" s="2" t="s">
        <v>2461</v>
      </c>
      <c r="J1092" s="3">
        <v>42111</v>
      </c>
      <c r="K1092" s="2" t="str">
        <f>HYPERLINK("https://docs.wto.org/imrd/directdoc.asp?DDFDocuments/t/G/SPS/NCHN860.DOC")</f>
        <v>https://docs.wto.org/imrd/directdoc.asp?DDFDocuments/t/G/SPS/NCHN860.DOC</v>
      </c>
      <c r="L1092" s="2" t="str">
        <f>HYPERLINK("https://docs.wto.org/imrd/directdoc.asp?DDFDocuments/u/G/SPS/NCHN860.DOC")</f>
        <v>https://docs.wto.org/imrd/directdoc.asp?DDFDocuments/u/G/SPS/NCHN860.DOC</v>
      </c>
      <c r="M1092" s="2" t="str">
        <f>HYPERLINK("https://docs.wto.org/imrd/directdoc.asp?DDFDocuments/v/G/SPS/NCHN860.DOC")</f>
        <v>https://docs.wto.org/imrd/directdoc.asp?DDFDocuments/v/G/SPS/NCHN860.DOC</v>
      </c>
      <c r="N1092" s="2" t="str">
        <f>HYPERLINK("http://www.epingalert.org/#/details/G/SPS/N/CHN/860")</f>
        <v>http://www.epingalert.org/#/details/G/SPS/N/CHN/860</v>
      </c>
      <c r="O1092" s="2"/>
    </row>
    <row r="1093" spans="1:15" ht="240" customHeight="1" outlineLevel="1" x14ac:dyDescent="0.25">
      <c r="A1093" s="2" t="s">
        <v>380</v>
      </c>
      <c r="B1093" s="2" t="s">
        <v>4614</v>
      </c>
      <c r="C1093" s="2" t="s">
        <v>4615</v>
      </c>
      <c r="D1093" s="2" t="s">
        <v>4616</v>
      </c>
      <c r="E1093" s="3">
        <v>42051</v>
      </c>
      <c r="F1093" s="2" t="s">
        <v>62</v>
      </c>
      <c r="G1093" s="2"/>
      <c r="H1093" s="2" t="s">
        <v>2425</v>
      </c>
      <c r="I1093" s="2" t="s">
        <v>2461</v>
      </c>
      <c r="J1093" s="3">
        <v>42111</v>
      </c>
      <c r="K1093" s="2" t="str">
        <f>HYPERLINK("https://docs.wto.org/imrd/directdoc.asp?DDFDocuments/t/G/SPS/NCHN857.DOC")</f>
        <v>https://docs.wto.org/imrd/directdoc.asp?DDFDocuments/t/G/SPS/NCHN857.DOC</v>
      </c>
      <c r="L1093" s="2" t="str">
        <f>HYPERLINK("https://docs.wto.org/imrd/directdoc.asp?DDFDocuments/u/G/SPS/NCHN857.DOC")</f>
        <v>https://docs.wto.org/imrd/directdoc.asp?DDFDocuments/u/G/SPS/NCHN857.DOC</v>
      </c>
      <c r="M1093" s="2" t="str">
        <f>HYPERLINK("https://docs.wto.org/imrd/directdoc.asp?DDFDocuments/v/G/SPS/NCHN857.DOC")</f>
        <v>https://docs.wto.org/imrd/directdoc.asp?DDFDocuments/v/G/SPS/NCHN857.DOC</v>
      </c>
      <c r="N1093" s="2" t="str">
        <f>HYPERLINK("http://www.epingalert.org/#/details/G/SPS/N/CHN/857")</f>
        <v>http://www.epingalert.org/#/details/G/SPS/N/CHN/857</v>
      </c>
      <c r="O1093" s="2"/>
    </row>
    <row r="1094" spans="1:15" ht="240" customHeight="1" outlineLevel="1" x14ac:dyDescent="0.25">
      <c r="A1094" s="2" t="s">
        <v>115</v>
      </c>
      <c r="B1094" s="2" t="s">
        <v>4617</v>
      </c>
      <c r="C1094" s="2" t="s">
        <v>4618</v>
      </c>
      <c r="D1094" s="2" t="s">
        <v>4619</v>
      </c>
      <c r="E1094" s="3">
        <v>42048</v>
      </c>
      <c r="F1094" s="2" t="s">
        <v>4620</v>
      </c>
      <c r="G1094" s="2" t="s">
        <v>4621</v>
      </c>
      <c r="H1094" s="2" t="s">
        <v>2425</v>
      </c>
      <c r="I1094" s="2" t="s">
        <v>4622</v>
      </c>
      <c r="J1094" s="3">
        <v>42108</v>
      </c>
      <c r="K1094" s="2" t="str">
        <f>HYPERLINK("https://docs.wto.org/imrd/directdoc.asp?DDFDocuments/t/G/SPS/NJPN397.DOC")</f>
        <v>https://docs.wto.org/imrd/directdoc.asp?DDFDocuments/t/G/SPS/NJPN397.DOC</v>
      </c>
      <c r="L1094" s="2" t="str">
        <f>HYPERLINK("https://docs.wto.org/imrd/directdoc.asp?DDFDocuments/u/G/SPS/NJPN397.DOC")</f>
        <v>https://docs.wto.org/imrd/directdoc.asp?DDFDocuments/u/G/SPS/NJPN397.DOC</v>
      </c>
      <c r="M1094" s="2" t="str">
        <f>HYPERLINK("https://docs.wto.org/imrd/directdoc.asp?DDFDocuments/v/G/SPS/NJPN397.DOC")</f>
        <v>https://docs.wto.org/imrd/directdoc.asp?DDFDocuments/v/G/SPS/NJPN397.DOC</v>
      </c>
      <c r="N1094" s="2" t="str">
        <f>HYPERLINK("http://www.epingalert.org/#/details/G/SPS/N/JPN/397")</f>
        <v>http://www.epingalert.org/#/details/G/SPS/N/JPN/397</v>
      </c>
      <c r="O1094" s="2"/>
    </row>
    <row r="1095" spans="1:15" ht="240" customHeight="1" outlineLevel="1" x14ac:dyDescent="0.25">
      <c r="A1095" s="2" t="s">
        <v>31</v>
      </c>
      <c r="B1095" s="2" t="s">
        <v>7889</v>
      </c>
      <c r="C1095" s="2" t="s">
        <v>7890</v>
      </c>
      <c r="D1095" s="2" t="s">
        <v>7891</v>
      </c>
      <c r="E1095" s="3">
        <v>42048</v>
      </c>
      <c r="F1095" s="2" t="s">
        <v>7892</v>
      </c>
      <c r="G1095" s="2" t="s">
        <v>7893</v>
      </c>
      <c r="H1095" s="2" t="s">
        <v>2467</v>
      </c>
      <c r="I1095" s="2" t="s">
        <v>2713</v>
      </c>
      <c r="J1095" s="3">
        <v>42108</v>
      </c>
      <c r="K1095" s="2" t="str">
        <f>HYPERLINK("https://docs.wto.org/imrd/directdoc.asp?DDFDocuments/t/G/SPS/NTHA227.DOC")</f>
        <v>https://docs.wto.org/imrd/directdoc.asp?DDFDocuments/t/G/SPS/NTHA227.DOC</v>
      </c>
      <c r="L1095" s="2" t="str">
        <f>HYPERLINK("https://docs.wto.org/imrd/directdoc.asp?DDFDocuments/u/G/SPS/NTHA227.DOC")</f>
        <v>https://docs.wto.org/imrd/directdoc.asp?DDFDocuments/u/G/SPS/NTHA227.DOC</v>
      </c>
      <c r="M1095" s="2" t="str">
        <f>HYPERLINK("https://docs.wto.org/imrd/directdoc.asp?DDFDocuments/v/G/SPS/NTHA227.DOC")</f>
        <v>https://docs.wto.org/imrd/directdoc.asp?DDFDocuments/v/G/SPS/NTHA227.DOC</v>
      </c>
      <c r="N1095" s="2" t="str">
        <f>HYPERLINK("http://www.epingalert.org/#/details/G/SPS/N/THA/227")</f>
        <v>http://www.epingalert.org/#/details/G/SPS/N/THA/227</v>
      </c>
      <c r="O1095" s="2"/>
    </row>
    <row r="1096" spans="1:15" ht="240" customHeight="1" outlineLevel="1" x14ac:dyDescent="0.25">
      <c r="A1096" s="2" t="s">
        <v>6783</v>
      </c>
      <c r="B1096" s="2" t="s">
        <v>7884</v>
      </c>
      <c r="C1096" s="2" t="s">
        <v>7885</v>
      </c>
      <c r="D1096" s="2" t="s">
        <v>7886</v>
      </c>
      <c r="E1096" s="3">
        <v>42048</v>
      </c>
      <c r="F1096" s="2" t="s">
        <v>7887</v>
      </c>
      <c r="G1096" s="2" t="s">
        <v>7888</v>
      </c>
      <c r="H1096" s="2" t="s">
        <v>2425</v>
      </c>
      <c r="I1096" s="2" t="s">
        <v>2461</v>
      </c>
      <c r="J1096" s="2"/>
      <c r="K1096" s="2" t="str">
        <f>HYPERLINK("https://docs.wto.org/imrd/directdoc.asp?DDFDocuments/t/G/SPS/NTGO1.DOC")</f>
        <v>https://docs.wto.org/imrd/directdoc.asp?DDFDocuments/t/G/SPS/NTGO1.DOC</v>
      </c>
      <c r="L1096" s="2" t="str">
        <f>HYPERLINK("https://docs.wto.org/imrd/directdoc.asp?DDFDocuments/u/G/SPS/NTGO1.DOC")</f>
        <v>https://docs.wto.org/imrd/directdoc.asp?DDFDocuments/u/G/SPS/NTGO1.DOC</v>
      </c>
      <c r="M1096" s="2" t="str">
        <f>HYPERLINK("https://docs.wto.org/imrd/directdoc.asp?DDFDocuments/v/G/SPS/NTGO1.DOC")</f>
        <v>https://docs.wto.org/imrd/directdoc.asp?DDFDocuments/v/G/SPS/NTGO1.DOC</v>
      </c>
      <c r="N1096" s="2" t="str">
        <f>HYPERLINK("http://www.epingalert.org/#/details/G/SPS/N/TGO/1")</f>
        <v>http://www.epingalert.org/#/details/G/SPS/N/TGO/1</v>
      </c>
      <c r="O1096" s="2"/>
    </row>
    <row r="1097" spans="1:15" ht="240" customHeight="1" outlineLevel="1" x14ac:dyDescent="0.25">
      <c r="A1097" s="2" t="s">
        <v>380</v>
      </c>
      <c r="B1097" s="2" t="s">
        <v>4623</v>
      </c>
      <c r="C1097" s="2" t="s">
        <v>4624</v>
      </c>
      <c r="D1097" s="2" t="s">
        <v>4625</v>
      </c>
      <c r="E1097" s="3">
        <v>42047</v>
      </c>
      <c r="F1097" s="2" t="s">
        <v>4626</v>
      </c>
      <c r="G1097" s="2"/>
      <c r="H1097" s="2" t="s">
        <v>2425</v>
      </c>
      <c r="I1097" s="2" t="s">
        <v>2801</v>
      </c>
      <c r="J1097" s="3">
        <v>42107</v>
      </c>
      <c r="K1097" s="2" t="str">
        <f>HYPERLINK("https://docs.wto.org/imrd/directdoc.asp?DDFDocuments/t/G/SPS/NCHN856.DOC")</f>
        <v>https://docs.wto.org/imrd/directdoc.asp?DDFDocuments/t/G/SPS/NCHN856.DOC</v>
      </c>
      <c r="L1097" s="2" t="str">
        <f>HYPERLINK("https://docs.wto.org/imrd/directdoc.asp?DDFDocuments/u/G/SPS/NCHN856.DOC")</f>
        <v>https://docs.wto.org/imrd/directdoc.asp?DDFDocuments/u/G/SPS/NCHN856.DOC</v>
      </c>
      <c r="M1097" s="2" t="str">
        <f>HYPERLINK("https://docs.wto.org/imrd/directdoc.asp?DDFDocuments/v/G/SPS/NCHN856.DOC")</f>
        <v>https://docs.wto.org/imrd/directdoc.asp?DDFDocuments/v/G/SPS/NCHN856.DOC</v>
      </c>
      <c r="N1097" s="2" t="str">
        <f>HYPERLINK("http://www.epingalert.org/#/details/G/SPS/N/CHN/856")</f>
        <v>http://www.epingalert.org/#/details/G/SPS/N/CHN/856</v>
      </c>
      <c r="O1097" s="2"/>
    </row>
    <row r="1098" spans="1:15" ht="240" customHeight="1" outlineLevel="1" x14ac:dyDescent="0.25">
      <c r="A1098" s="2" t="s">
        <v>380</v>
      </c>
      <c r="B1098" s="2" t="s">
        <v>4627</v>
      </c>
      <c r="C1098" s="2" t="s">
        <v>4628</v>
      </c>
      <c r="D1098" s="2" t="s">
        <v>4629</v>
      </c>
      <c r="E1098" s="3">
        <v>42047</v>
      </c>
      <c r="F1098" s="2" t="s">
        <v>4630</v>
      </c>
      <c r="G1098" s="2" t="s">
        <v>4631</v>
      </c>
      <c r="H1098" s="2" t="s">
        <v>2425</v>
      </c>
      <c r="I1098" s="2" t="s">
        <v>2535</v>
      </c>
      <c r="J1098" s="3">
        <v>42107</v>
      </c>
      <c r="K1098" s="2" t="str">
        <f>HYPERLINK("https://docs.wto.org/imrd/directdoc.asp?DDFDocuments/t/G/SPS/CHN855.DOC")</f>
        <v>https://docs.wto.org/imrd/directdoc.asp?DDFDocuments/t/G/SPS/CHN855.DOC</v>
      </c>
      <c r="L1098" s="2" t="str">
        <f>HYPERLINK("https://docs.wto.org/imrd/directdoc.asp?DDFDocuments/u/G/SPS/CHN855.DOC")</f>
        <v>https://docs.wto.org/imrd/directdoc.asp?DDFDocuments/u/G/SPS/CHN855.DOC</v>
      </c>
      <c r="M1098" s="2" t="str">
        <f>HYPERLINK("https://docs.wto.org/imrd/directdoc.asp?DDFDocuments/v/G/SPS/CHN855.DOC")</f>
        <v>https://docs.wto.org/imrd/directdoc.asp?DDFDocuments/v/G/SPS/CHN855.DOC</v>
      </c>
      <c r="N1098" s="2" t="str">
        <f>HYPERLINK("http://www.epingalert.org/#/details/G/SPS/N/CHN/855")</f>
        <v>http://www.epingalert.org/#/details/G/SPS/N/CHN/855</v>
      </c>
      <c r="O1098" s="2"/>
    </row>
    <row r="1099" spans="1:15" ht="240" customHeight="1" outlineLevel="1" x14ac:dyDescent="0.25">
      <c r="A1099" s="2" t="s">
        <v>1216</v>
      </c>
      <c r="B1099" s="2" t="s">
        <v>7894</v>
      </c>
      <c r="C1099" s="2" t="s">
        <v>7895</v>
      </c>
      <c r="D1099" s="2" t="s">
        <v>7896</v>
      </c>
      <c r="E1099" s="3">
        <v>42047</v>
      </c>
      <c r="F1099" s="2" t="s">
        <v>7897</v>
      </c>
      <c r="G1099" s="2" t="s">
        <v>7898</v>
      </c>
      <c r="H1099" s="2" t="s">
        <v>7899</v>
      </c>
      <c r="I1099" s="2" t="s">
        <v>7900</v>
      </c>
      <c r="J1099" s="3">
        <v>42107</v>
      </c>
      <c r="K1099" s="2" t="str">
        <f>HYPERLINK("https://docs.wto.org/imrd/directdoc.asp?DDFDocuments/t/G/SPS/NUKR103.DOC")</f>
        <v>https://docs.wto.org/imrd/directdoc.asp?DDFDocuments/t/G/SPS/NUKR103.DOC</v>
      </c>
      <c r="L1099" s="2" t="str">
        <f>HYPERLINK("https://docs.wto.org/imrd/directdoc.asp?DDFDocuments/u/G/SPS/NUKR103.DOC")</f>
        <v>https://docs.wto.org/imrd/directdoc.asp?DDFDocuments/u/G/SPS/NUKR103.DOC</v>
      </c>
      <c r="M1099" s="2" t="str">
        <f>HYPERLINK("https://docs.wto.org/imrd/directdoc.asp?DDFDocuments/v/G/SPS/NUKR103.DOC")</f>
        <v>https://docs.wto.org/imrd/directdoc.asp?DDFDocuments/v/G/SPS/NUKR103.DOC</v>
      </c>
      <c r="N1099" s="2" t="str">
        <f>HYPERLINK("http://www.epingalert.org/#/details/G/SPS/N/UKR/103")</f>
        <v>http://www.epingalert.org/#/details/G/SPS/N/UKR/103</v>
      </c>
      <c r="O1099" s="2"/>
    </row>
    <row r="1100" spans="1:15" ht="240" customHeight="1" outlineLevel="1" x14ac:dyDescent="0.25">
      <c r="A1100" s="2" t="s">
        <v>12</v>
      </c>
      <c r="B1100" s="2" t="s">
        <v>4632</v>
      </c>
      <c r="C1100" s="2"/>
      <c r="D1100" s="2"/>
      <c r="E1100" s="3">
        <v>42046</v>
      </c>
      <c r="F1100" s="2" t="s">
        <v>4633</v>
      </c>
      <c r="G1100" s="2" t="s">
        <v>4634</v>
      </c>
      <c r="H1100" s="2" t="s">
        <v>2425</v>
      </c>
      <c r="I1100" s="2" t="s">
        <v>2444</v>
      </c>
      <c r="J1100" s="2"/>
      <c r="K1100" s="2" t="str">
        <f>HYPERLINK("https://docs.wto.org/imrd/directdoc.asp?DDFDocuments/t/G/SPS/NEU75A1.DOC")</f>
        <v>https://docs.wto.org/imrd/directdoc.asp?DDFDocuments/t/G/SPS/NEU75A1.DOC</v>
      </c>
      <c r="L1100" s="2" t="str">
        <f>HYPERLINK("https://docs.wto.org/imrd/directdoc.asp?DDFDocuments/u/G/SPS/NEU75A1.DOC")</f>
        <v>https://docs.wto.org/imrd/directdoc.asp?DDFDocuments/u/G/SPS/NEU75A1.DOC</v>
      </c>
      <c r="M1100" s="2" t="str">
        <f>HYPERLINK("https://docs.wto.org/imrd/directdoc.asp?DDFDocuments/v/G/SPS/NEU75A1.DOC")</f>
        <v>https://docs.wto.org/imrd/directdoc.asp?DDFDocuments/v/G/SPS/NEU75A1.DOC</v>
      </c>
      <c r="N1100" s="2" t="str">
        <f>HYPERLINK("http://www.epingalert.org/#/details/G/SPS/N/EU/75/Add.1")</f>
        <v>http://www.epingalert.org/#/details/G/SPS/N/EU/75/Add.1</v>
      </c>
      <c r="O1100" s="2"/>
    </row>
    <row r="1101" spans="1:15" ht="240" customHeight="1" outlineLevel="1" x14ac:dyDescent="0.25">
      <c r="A1101" s="2" t="s">
        <v>180</v>
      </c>
      <c r="B1101" s="2" t="s">
        <v>4635</v>
      </c>
      <c r="C1101" s="2" t="s">
        <v>4636</v>
      </c>
      <c r="D1101" s="2" t="s">
        <v>4637</v>
      </c>
      <c r="E1101" s="3">
        <v>42044</v>
      </c>
      <c r="F1101" s="2" t="s">
        <v>4638</v>
      </c>
      <c r="G1101" s="2"/>
      <c r="H1101" s="2" t="s">
        <v>3092</v>
      </c>
      <c r="I1101" s="2" t="s">
        <v>4598</v>
      </c>
      <c r="J1101" s="2"/>
      <c r="K1101" s="2" t="str">
        <f>HYPERLINK("https://docs.wto.org/imrd/directdoc.asp?DDFDocuments/t/G/SPS/NKWT4.DOC")</f>
        <v>https://docs.wto.org/imrd/directdoc.asp?DDFDocuments/t/G/SPS/NKWT4.DOC</v>
      </c>
      <c r="L1101" s="2" t="str">
        <f>HYPERLINK("https://docs.wto.org/imrd/directdoc.asp?DDFDocuments/u/G/SPS/NKWT4.DOC")</f>
        <v>https://docs.wto.org/imrd/directdoc.asp?DDFDocuments/u/G/SPS/NKWT4.DOC</v>
      </c>
      <c r="M1101" s="2" t="str">
        <f>HYPERLINK("https://docs.wto.org/imrd/directdoc.asp?DDFDocuments/v/G/SPS/NKWT4.DOC")</f>
        <v>https://docs.wto.org/imrd/directdoc.asp?DDFDocuments/v/G/SPS/NKWT4.DOC</v>
      </c>
      <c r="N1101" s="2" t="str">
        <f>HYPERLINK("http://www.epingalert.org/#/details/G/SPS/N/KWT/4")</f>
        <v>http://www.epingalert.org/#/details/G/SPS/N/KWT/4</v>
      </c>
      <c r="O1101" s="2"/>
    </row>
    <row r="1102" spans="1:15" ht="240" customHeight="1" outlineLevel="1" x14ac:dyDescent="0.25">
      <c r="A1102" s="2" t="s">
        <v>25</v>
      </c>
      <c r="B1102" s="2" t="s">
        <v>4639</v>
      </c>
      <c r="C1102" s="2" t="s">
        <v>4640</v>
      </c>
      <c r="D1102" s="2" t="s">
        <v>4641</v>
      </c>
      <c r="E1102" s="3">
        <v>42040</v>
      </c>
      <c r="F1102" s="2" t="s">
        <v>299</v>
      </c>
      <c r="G1102" s="2"/>
      <c r="H1102" s="2" t="s">
        <v>2425</v>
      </c>
      <c r="I1102" s="2" t="s">
        <v>2903</v>
      </c>
      <c r="J1102" s="2"/>
      <c r="K1102" s="2" t="str">
        <f>HYPERLINK("https://docs.wto.org/imrd/directdoc.asp?DDFDocuments/t/G/SPS/NKOR495.DOC")</f>
        <v>https://docs.wto.org/imrd/directdoc.asp?DDFDocuments/t/G/SPS/NKOR495.DOC</v>
      </c>
      <c r="L1102" s="2" t="str">
        <f>HYPERLINK("https://docs.wto.org/imrd/directdoc.asp?DDFDocuments/u/G/SPS/NKOR495.DOC")</f>
        <v>https://docs.wto.org/imrd/directdoc.asp?DDFDocuments/u/G/SPS/NKOR495.DOC</v>
      </c>
      <c r="M1102" s="2" t="str">
        <f>HYPERLINK("https://docs.wto.org/imrd/directdoc.asp?DDFDocuments/v/G/SPS/NKOR495.DOC")</f>
        <v>https://docs.wto.org/imrd/directdoc.asp?DDFDocuments/v/G/SPS/NKOR495.DOC</v>
      </c>
      <c r="N1102" s="2" t="str">
        <f>HYPERLINK("http://www.epingalert.org/#/details/G/SPS/N/KOR/495")</f>
        <v>http://www.epingalert.org/#/details/G/SPS/N/KOR/495</v>
      </c>
      <c r="O1102" s="2"/>
    </row>
    <row r="1103" spans="1:15" ht="240" customHeight="1" outlineLevel="1" x14ac:dyDescent="0.25">
      <c r="A1103" s="2" t="s">
        <v>77</v>
      </c>
      <c r="B1103" s="2" t="s">
        <v>4642</v>
      </c>
      <c r="C1103" s="2" t="s">
        <v>4643</v>
      </c>
      <c r="D1103" s="2" t="s">
        <v>4644</v>
      </c>
      <c r="E1103" s="3">
        <v>42040</v>
      </c>
      <c r="F1103" s="2" t="s">
        <v>4645</v>
      </c>
      <c r="G1103" s="2" t="s">
        <v>4646</v>
      </c>
      <c r="H1103" s="2" t="s">
        <v>2425</v>
      </c>
      <c r="I1103" s="2" t="s">
        <v>2461</v>
      </c>
      <c r="J1103" s="2"/>
      <c r="K1103" s="2" t="str">
        <f>HYPERLINK("https://docs.wto.org/imrd/directdoc.asp?DDFDocuments/t/G/SPS/NTPKM348.DOC")</f>
        <v>https://docs.wto.org/imrd/directdoc.asp?DDFDocuments/t/G/SPS/NTPKM348.DOC</v>
      </c>
      <c r="L1103" s="2" t="str">
        <f>HYPERLINK("https://docs.wto.org/imrd/directdoc.asp?DDFDocuments/u/G/SPS/NTPKM348.DOC")</f>
        <v>https://docs.wto.org/imrd/directdoc.asp?DDFDocuments/u/G/SPS/NTPKM348.DOC</v>
      </c>
      <c r="M1103" s="2" t="str">
        <f>HYPERLINK("https://docs.wto.org/imrd/directdoc.asp?DDFDocuments/v/G/SPS/NTPKM348.DOC")</f>
        <v>https://docs.wto.org/imrd/directdoc.asp?DDFDocuments/v/G/SPS/NTPKM348.DOC</v>
      </c>
      <c r="N1103" s="2" t="str">
        <f>HYPERLINK("http://www.epingalert.org/#/details/G/SPS/N/TPKM/348")</f>
        <v>http://www.epingalert.org/#/details/G/SPS/N/TPKM/348</v>
      </c>
      <c r="O1103" s="2"/>
    </row>
    <row r="1104" spans="1:15" ht="240" customHeight="1" outlineLevel="1" x14ac:dyDescent="0.25">
      <c r="A1104" s="2" t="s">
        <v>282</v>
      </c>
      <c r="B1104" s="2" t="s">
        <v>7901</v>
      </c>
      <c r="C1104" s="2" t="s">
        <v>7902</v>
      </c>
      <c r="D1104" s="2" t="s">
        <v>7903</v>
      </c>
      <c r="E1104" s="3">
        <v>42040</v>
      </c>
      <c r="F1104" s="2" t="s">
        <v>7904</v>
      </c>
      <c r="G1104" s="2" t="s">
        <v>6736</v>
      </c>
      <c r="H1104" s="2" t="s">
        <v>2573</v>
      </c>
      <c r="I1104" s="2" t="s">
        <v>4496</v>
      </c>
      <c r="J1104" s="2"/>
      <c r="K1104" s="2" t="str">
        <f>HYPERLINK("https://docs.wto.org/imrd/directdoc.asp?DDFDocuments/t/G/SPS/NRUS93.DOC")</f>
        <v>https://docs.wto.org/imrd/directdoc.asp?DDFDocuments/t/G/SPS/NRUS93.DOC</v>
      </c>
      <c r="L1104" s="2" t="str">
        <f>HYPERLINK("https://docs.wto.org/imrd/directdoc.asp?DDFDocuments/u/G/SPS/NRUS93.DOC")</f>
        <v>https://docs.wto.org/imrd/directdoc.asp?DDFDocuments/u/G/SPS/NRUS93.DOC</v>
      </c>
      <c r="M1104" s="2" t="str">
        <f>HYPERLINK("https://docs.wto.org/imrd/directdoc.asp?DDFDocuments/v/G/SPS/NRUS93.DOC")</f>
        <v>https://docs.wto.org/imrd/directdoc.asp?DDFDocuments/v/G/SPS/NRUS93.DOC</v>
      </c>
      <c r="N1104" s="2" t="str">
        <f>HYPERLINK("http://www.epingalert.org/#/details/G/SPS/N/RUS/93")</f>
        <v>http://www.epingalert.org/#/details/G/SPS/N/RUS/93</v>
      </c>
      <c r="O1104" s="2"/>
    </row>
    <row r="1105" spans="1:15" ht="240" customHeight="1" outlineLevel="1" x14ac:dyDescent="0.25">
      <c r="A1105" s="2" t="s">
        <v>282</v>
      </c>
      <c r="B1105" s="2" t="s">
        <v>7905</v>
      </c>
      <c r="C1105" s="2" t="s">
        <v>7906</v>
      </c>
      <c r="D1105" s="2" t="s">
        <v>7907</v>
      </c>
      <c r="E1105" s="3">
        <v>42040</v>
      </c>
      <c r="F1105" s="2" t="s">
        <v>7908</v>
      </c>
      <c r="G1105" s="2" t="s">
        <v>2039</v>
      </c>
      <c r="H1105" s="2" t="s">
        <v>2467</v>
      </c>
      <c r="I1105" s="2" t="s">
        <v>7423</v>
      </c>
      <c r="J1105" s="2"/>
      <c r="K1105" s="2" t="str">
        <f>HYPERLINK("https://docs.wto.org/imrd/directdoc.asp?DDFDocuments/t/G/SPS/NRUS92.DOC")</f>
        <v>https://docs.wto.org/imrd/directdoc.asp?DDFDocuments/t/G/SPS/NRUS92.DOC</v>
      </c>
      <c r="L1105" s="2" t="str">
        <f>HYPERLINK("https://docs.wto.org/imrd/directdoc.asp?DDFDocuments/u/G/SPS/NRUS92.DOC")</f>
        <v>https://docs.wto.org/imrd/directdoc.asp?DDFDocuments/u/G/SPS/NRUS92.DOC</v>
      </c>
      <c r="M1105" s="2" t="str">
        <f>HYPERLINK("https://docs.wto.org/imrd/directdoc.asp?DDFDocuments/v/G/SPS/NRUS92.DOC")</f>
        <v>https://docs.wto.org/imrd/directdoc.asp?DDFDocuments/v/G/SPS/NRUS92.DOC</v>
      </c>
      <c r="N1105" s="2" t="str">
        <f>HYPERLINK("http://www.epingalert.org/#/details/G/SPS/N/RUS/92")</f>
        <v>http://www.epingalert.org/#/details/G/SPS/N/RUS/92</v>
      </c>
      <c r="O1105" s="2"/>
    </row>
    <row r="1106" spans="1:15" ht="240" customHeight="1" outlineLevel="1" x14ac:dyDescent="0.25">
      <c r="A1106" s="2" t="s">
        <v>115</v>
      </c>
      <c r="B1106" s="2" t="s">
        <v>7909</v>
      </c>
      <c r="C1106" s="2" t="s">
        <v>7910</v>
      </c>
      <c r="D1106" s="2" t="s">
        <v>7911</v>
      </c>
      <c r="E1106" s="3">
        <v>42038</v>
      </c>
      <c r="F1106" s="2" t="s">
        <v>6775</v>
      </c>
      <c r="G1106" s="2" t="s">
        <v>7912</v>
      </c>
      <c r="H1106" s="2" t="s">
        <v>2425</v>
      </c>
      <c r="I1106" s="2" t="s">
        <v>2453</v>
      </c>
      <c r="J1106" s="3">
        <v>42098</v>
      </c>
      <c r="K1106" s="2" t="str">
        <f>HYPERLINK("https://docs.wto.org/imrd/directdoc.asp?DDFDocuments/t/G/SPS/NJPN396.DOC")</f>
        <v>https://docs.wto.org/imrd/directdoc.asp?DDFDocuments/t/G/SPS/NJPN396.DOC</v>
      </c>
      <c r="L1106" s="2" t="str">
        <f>HYPERLINK("https://docs.wto.org/imrd/directdoc.asp?DDFDocuments/u/G/SPS/NJPN396.DOC")</f>
        <v>https://docs.wto.org/imrd/directdoc.asp?DDFDocuments/u/G/SPS/NJPN396.DOC</v>
      </c>
      <c r="M1106" s="2" t="str">
        <f>HYPERLINK("https://docs.wto.org/imrd/directdoc.asp?DDFDocuments/v/G/SPS/NJPN396.DOC")</f>
        <v>https://docs.wto.org/imrd/directdoc.asp?DDFDocuments/v/G/SPS/NJPN396.DOC</v>
      </c>
      <c r="N1106" s="2" t="str">
        <f>HYPERLINK("http://www.epingalert.org/#/details/G/SPS/N/JPN/396")</f>
        <v>http://www.epingalert.org/#/details/G/SPS/N/JPN/396</v>
      </c>
      <c r="O1106" s="2"/>
    </row>
    <row r="1107" spans="1:15" ht="240" customHeight="1" outlineLevel="1" x14ac:dyDescent="0.25">
      <c r="A1107" s="2" t="s">
        <v>115</v>
      </c>
      <c r="B1107" s="2" t="s">
        <v>7913</v>
      </c>
      <c r="C1107" s="2" t="s">
        <v>7910</v>
      </c>
      <c r="D1107" s="2" t="s">
        <v>7914</v>
      </c>
      <c r="E1107" s="3">
        <v>42038</v>
      </c>
      <c r="F1107" s="2" t="s">
        <v>7915</v>
      </c>
      <c r="G1107" s="2" t="s">
        <v>7916</v>
      </c>
      <c r="H1107" s="2" t="s">
        <v>2425</v>
      </c>
      <c r="I1107" s="2" t="s">
        <v>2453</v>
      </c>
      <c r="J1107" s="3">
        <v>42098</v>
      </c>
      <c r="K1107" s="2" t="str">
        <f>HYPERLINK("https://docs.wto.org/imrd/directdoc.asp?DDFDocuments/t/G/SPS/NJPN395.DOC")</f>
        <v>https://docs.wto.org/imrd/directdoc.asp?DDFDocuments/t/G/SPS/NJPN395.DOC</v>
      </c>
      <c r="L1107" s="2" t="str">
        <f>HYPERLINK("https://docs.wto.org/imrd/directdoc.asp?DDFDocuments/u/G/SPS/NJPN395.DOC")</f>
        <v>https://docs.wto.org/imrd/directdoc.asp?DDFDocuments/u/G/SPS/NJPN395.DOC</v>
      </c>
      <c r="M1107" s="2" t="str">
        <f>HYPERLINK("https://docs.wto.org/imrd/directdoc.asp?DDFDocuments/v/G/SPS/NJPN395.DOC")</f>
        <v>https://docs.wto.org/imrd/directdoc.asp?DDFDocuments/v/G/SPS/NJPN395.DOC</v>
      </c>
      <c r="N1107" s="2" t="str">
        <f>HYPERLINK("http://www.epingalert.org/#/details/G/SPS/N/JPN/395")</f>
        <v>http://www.epingalert.org/#/details/G/SPS/N/JPN/395</v>
      </c>
      <c r="O1107" s="2"/>
    </row>
    <row r="1108" spans="1:15" ht="240" customHeight="1" outlineLevel="1" x14ac:dyDescent="0.25">
      <c r="A1108" s="2" t="s">
        <v>115</v>
      </c>
      <c r="B1108" s="2" t="s">
        <v>7917</v>
      </c>
      <c r="C1108" s="2" t="s">
        <v>7918</v>
      </c>
      <c r="D1108" s="2" t="s">
        <v>7919</v>
      </c>
      <c r="E1108" s="3">
        <v>42038</v>
      </c>
      <c r="F1108" s="2" t="s">
        <v>6760</v>
      </c>
      <c r="G1108" s="2" t="s">
        <v>7920</v>
      </c>
      <c r="H1108" s="2" t="s">
        <v>2425</v>
      </c>
      <c r="I1108" s="2" t="s">
        <v>2453</v>
      </c>
      <c r="J1108" s="3">
        <v>42098</v>
      </c>
      <c r="K1108" s="2" t="str">
        <f>HYPERLINK("https://docs.wto.org/imrd/directdoc.asp?DDFDocuments/t/G/SPS/NJPN394.DOC")</f>
        <v>https://docs.wto.org/imrd/directdoc.asp?DDFDocuments/t/G/SPS/NJPN394.DOC</v>
      </c>
      <c r="L1108" s="2" t="str">
        <f>HYPERLINK("https://docs.wto.org/imrd/directdoc.asp?DDFDocuments/u/G/SPS/NJPN394.DOC")</f>
        <v>https://docs.wto.org/imrd/directdoc.asp?DDFDocuments/u/G/SPS/NJPN394.DOC</v>
      </c>
      <c r="M1108" s="2" t="str">
        <f>HYPERLINK("https://docs.wto.org/imrd/directdoc.asp?DDFDocuments/v/G/SPS/NJPN394.DOC")</f>
        <v>https://docs.wto.org/imrd/directdoc.asp?DDFDocuments/v/G/SPS/NJPN394.DOC</v>
      </c>
      <c r="N1108" s="2" t="str">
        <f>HYPERLINK("http://www.epingalert.org/#/details/G/SPS/N/JPN/394")</f>
        <v>http://www.epingalert.org/#/details/G/SPS/N/JPN/394</v>
      </c>
      <c r="O1108" s="2"/>
    </row>
    <row r="1109" spans="1:15" ht="240" customHeight="1" outlineLevel="1" x14ac:dyDescent="0.25">
      <c r="A1109" s="2" t="s">
        <v>115</v>
      </c>
      <c r="B1109" s="2" t="s">
        <v>7921</v>
      </c>
      <c r="C1109" s="2" t="s">
        <v>7910</v>
      </c>
      <c r="D1109" s="2" t="s">
        <v>7922</v>
      </c>
      <c r="E1109" s="3">
        <v>42038</v>
      </c>
      <c r="F1109" s="2" t="s">
        <v>7512</v>
      </c>
      <c r="G1109" s="2" t="s">
        <v>7923</v>
      </c>
      <c r="H1109" s="2" t="s">
        <v>2425</v>
      </c>
      <c r="I1109" s="2" t="s">
        <v>2453</v>
      </c>
      <c r="J1109" s="3">
        <v>42098</v>
      </c>
      <c r="K1109" s="2" t="str">
        <f>HYPERLINK("https://docs.wto.org/imrd/directdoc.asp?DDFDocuments/t/G/SPS/NJPN393.DOC")</f>
        <v>https://docs.wto.org/imrd/directdoc.asp?DDFDocuments/t/G/SPS/NJPN393.DOC</v>
      </c>
      <c r="L1109" s="2" t="str">
        <f>HYPERLINK("https://docs.wto.org/imrd/directdoc.asp?DDFDocuments/u/G/SPS/NJPN393.DOC")</f>
        <v>https://docs.wto.org/imrd/directdoc.asp?DDFDocuments/u/G/SPS/NJPN393.DOC</v>
      </c>
      <c r="M1109" s="2" t="str">
        <f>HYPERLINK("https://docs.wto.org/imrd/directdoc.asp?DDFDocuments/v/G/SPS/NJPN393.DOC")</f>
        <v>https://docs.wto.org/imrd/directdoc.asp?DDFDocuments/v/G/SPS/NJPN393.DOC</v>
      </c>
      <c r="N1109" s="2" t="str">
        <f>HYPERLINK("http://www.epingalert.org/#/details/G/SPS/N/JPN/393")</f>
        <v>http://www.epingalert.org/#/details/G/SPS/N/JPN/393</v>
      </c>
      <c r="O1109" s="2"/>
    </row>
    <row r="1110" spans="1:15" ht="240" customHeight="1" outlineLevel="1" x14ac:dyDescent="0.25">
      <c r="A1110" s="2" t="s">
        <v>115</v>
      </c>
      <c r="B1110" s="2" t="s">
        <v>7924</v>
      </c>
      <c r="C1110" s="2" t="s">
        <v>7910</v>
      </c>
      <c r="D1110" s="2" t="s">
        <v>7925</v>
      </c>
      <c r="E1110" s="3">
        <v>42038</v>
      </c>
      <c r="F1110" s="2" t="s">
        <v>7926</v>
      </c>
      <c r="G1110" s="2" t="s">
        <v>7927</v>
      </c>
      <c r="H1110" s="2" t="s">
        <v>2425</v>
      </c>
      <c r="I1110" s="2" t="s">
        <v>2453</v>
      </c>
      <c r="J1110" s="3">
        <v>42098</v>
      </c>
      <c r="K1110" s="2" t="str">
        <f>HYPERLINK("https://docs.wto.org/imrd/directdoc.asp?DDFDocuments/t/G/SPS/NJPN392.DOC")</f>
        <v>https://docs.wto.org/imrd/directdoc.asp?DDFDocuments/t/G/SPS/NJPN392.DOC</v>
      </c>
      <c r="L1110" s="2" t="str">
        <f>HYPERLINK("https://docs.wto.org/imrd/directdoc.asp?DDFDocuments/u/G/SPS/NJPN392.DOC")</f>
        <v>https://docs.wto.org/imrd/directdoc.asp?DDFDocuments/u/G/SPS/NJPN392.DOC</v>
      </c>
      <c r="M1110" s="2" t="str">
        <f>HYPERLINK("https://docs.wto.org/imrd/directdoc.asp?DDFDocuments/v/G/SPS/NJPN392.DOC")</f>
        <v>https://docs.wto.org/imrd/directdoc.asp?DDFDocuments/v/G/SPS/NJPN392.DOC</v>
      </c>
      <c r="N1110" s="2" t="str">
        <f>HYPERLINK("http://www.epingalert.org/#/details/G/SPS/N/JPN/392")</f>
        <v>http://www.epingalert.org/#/details/G/SPS/N/JPN/392</v>
      </c>
      <c r="O1110" s="2"/>
    </row>
    <row r="1111" spans="1:15" ht="240" customHeight="1" outlineLevel="1" x14ac:dyDescent="0.25">
      <c r="A1111" s="2" t="s">
        <v>211</v>
      </c>
      <c r="B1111" s="2" t="s">
        <v>4647</v>
      </c>
      <c r="C1111" s="2" t="s">
        <v>4648</v>
      </c>
      <c r="D1111" s="2" t="s">
        <v>4649</v>
      </c>
      <c r="E1111" s="3">
        <v>42038</v>
      </c>
      <c r="F1111" s="2" t="s">
        <v>4650</v>
      </c>
      <c r="G1111" s="2"/>
      <c r="H1111" s="2" t="s">
        <v>2573</v>
      </c>
      <c r="I1111" s="2" t="s">
        <v>4651</v>
      </c>
      <c r="J1111" s="3">
        <v>42094</v>
      </c>
      <c r="K1111" s="2" t="str">
        <f>HYPERLINK("https://docs.wto.org/imrd/directdoc.asp?DDFDocuments/t/G/SPS/NNZL515.DOC")</f>
        <v>https://docs.wto.org/imrd/directdoc.asp?DDFDocuments/t/G/SPS/NNZL515.DOC</v>
      </c>
      <c r="L1111" s="2" t="str">
        <f>HYPERLINK("https://docs.wto.org/imrd/directdoc.asp?DDFDocuments/u/G/SPS/NNZL515.DOC")</f>
        <v>https://docs.wto.org/imrd/directdoc.asp?DDFDocuments/u/G/SPS/NNZL515.DOC</v>
      </c>
      <c r="M1111" s="2" t="str">
        <f>HYPERLINK("https://docs.wto.org/imrd/directdoc.asp?DDFDocuments/v/G/SPS/NNZL515.DOC")</f>
        <v>https://docs.wto.org/imrd/directdoc.asp?DDFDocuments/v/G/SPS/NNZL515.DOC</v>
      </c>
      <c r="N1111" s="2" t="str">
        <f>HYPERLINK("http://www.epingalert.org/#/details/G/SPS/N/NZL/515")</f>
        <v>http://www.epingalert.org/#/details/G/SPS/N/NZL/515</v>
      </c>
      <c r="O1111" s="2"/>
    </row>
    <row r="1112" spans="1:15" ht="240" customHeight="1" outlineLevel="1" x14ac:dyDescent="0.25">
      <c r="A1112" s="2" t="s">
        <v>181</v>
      </c>
      <c r="B1112" s="2" t="s">
        <v>4655</v>
      </c>
      <c r="C1112" s="2" t="s">
        <v>4656</v>
      </c>
      <c r="D1112" s="2" t="s">
        <v>4657</v>
      </c>
      <c r="E1112" s="3">
        <v>42037</v>
      </c>
      <c r="F1112" s="2" t="s">
        <v>743</v>
      </c>
      <c r="G1112" s="2"/>
      <c r="H1112" s="2" t="s">
        <v>2425</v>
      </c>
      <c r="I1112" s="2" t="s">
        <v>2548</v>
      </c>
      <c r="J1112" s="3">
        <v>42097</v>
      </c>
      <c r="K1112" s="2" t="str">
        <f>HYPERLINK("https://docs.wto.org/imrd/directdoc.asp?DDFDocuments/t/G/SPS/NBHR154.DOC")</f>
        <v>https://docs.wto.org/imrd/directdoc.asp?DDFDocuments/t/G/SPS/NBHR154.DOC</v>
      </c>
      <c r="L1112" s="2" t="str">
        <f>HYPERLINK("https://docs.wto.org/imrd/directdoc.asp?DDFDocuments/u/G/SPS/NBHR154.DOC")</f>
        <v>https://docs.wto.org/imrd/directdoc.asp?DDFDocuments/u/G/SPS/NBHR154.DOC</v>
      </c>
      <c r="M1112" s="2" t="str">
        <f>HYPERLINK("https://docs.wto.org/imrd/directdoc.asp?DDFDocuments/v/G/SPS/NBHR154.DOC")</f>
        <v>https://docs.wto.org/imrd/directdoc.asp?DDFDocuments/v/G/SPS/NBHR154.DOC</v>
      </c>
      <c r="N1112" s="2" t="str">
        <f>HYPERLINK("http://www.epingalert.org/#/details/G/SPS/N/BHR/154")</f>
        <v>http://www.epingalert.org/#/details/G/SPS/N/BHR/154</v>
      </c>
      <c r="O1112" s="2"/>
    </row>
    <row r="1113" spans="1:15" ht="240" customHeight="1" outlineLevel="1" x14ac:dyDescent="0.25">
      <c r="A1113" s="2" t="s">
        <v>115</v>
      </c>
      <c r="B1113" s="2" t="s">
        <v>7928</v>
      </c>
      <c r="C1113" s="2" t="s">
        <v>7918</v>
      </c>
      <c r="D1113" s="2" t="s">
        <v>7929</v>
      </c>
      <c r="E1113" s="3">
        <v>42037</v>
      </c>
      <c r="F1113" s="2" t="s">
        <v>7512</v>
      </c>
      <c r="G1113" s="2" t="s">
        <v>7930</v>
      </c>
      <c r="H1113" s="2" t="s">
        <v>2425</v>
      </c>
      <c r="I1113" s="2" t="s">
        <v>2453</v>
      </c>
      <c r="J1113" s="3">
        <v>42097</v>
      </c>
      <c r="K1113" s="2" t="str">
        <f>HYPERLINK("https://docs.wto.org/imrd/directdoc.asp?DDFDocuments/t/G/SPS/NJPN391.DOC")</f>
        <v>https://docs.wto.org/imrd/directdoc.asp?DDFDocuments/t/G/SPS/NJPN391.DOC</v>
      </c>
      <c r="L1113" s="2" t="str">
        <f>HYPERLINK("https://docs.wto.org/imrd/directdoc.asp?DDFDocuments/u/G/SPS/NJPN391.DOC")</f>
        <v>https://docs.wto.org/imrd/directdoc.asp?DDFDocuments/u/G/SPS/NJPN391.DOC</v>
      </c>
      <c r="M1113" s="2" t="str">
        <f>HYPERLINK("https://docs.wto.org/imrd/directdoc.asp?DDFDocuments/v/G/SPS/NJPN391.DOC")</f>
        <v>https://docs.wto.org/imrd/directdoc.asp?DDFDocuments/v/G/SPS/NJPN391.DOC</v>
      </c>
      <c r="N1113" s="2" t="str">
        <f>HYPERLINK("http://www.epingalert.org/#/details/G/SPS/N/JPN/391")</f>
        <v>http://www.epingalert.org/#/details/G/SPS/N/JPN/391</v>
      </c>
      <c r="O1113" s="2"/>
    </row>
    <row r="1114" spans="1:15" ht="240" customHeight="1" outlineLevel="1" x14ac:dyDescent="0.25">
      <c r="A1114" s="2" t="s">
        <v>115</v>
      </c>
      <c r="B1114" s="2" t="s">
        <v>7931</v>
      </c>
      <c r="C1114" s="2" t="s">
        <v>7918</v>
      </c>
      <c r="D1114" s="2" t="s">
        <v>7932</v>
      </c>
      <c r="E1114" s="3">
        <v>42037</v>
      </c>
      <c r="F1114" s="2" t="s">
        <v>7054</v>
      </c>
      <c r="G1114" s="2" t="s">
        <v>7933</v>
      </c>
      <c r="H1114" s="2" t="s">
        <v>2425</v>
      </c>
      <c r="I1114" s="2" t="s">
        <v>2453</v>
      </c>
      <c r="J1114" s="3">
        <v>42097</v>
      </c>
      <c r="K1114" s="2" t="str">
        <f>HYPERLINK("https://docs.wto.org/imrd/directdoc.asp?DDFDocuments/t/G/SPS/NJPN390.DOC")</f>
        <v>https://docs.wto.org/imrd/directdoc.asp?DDFDocuments/t/G/SPS/NJPN390.DOC</v>
      </c>
      <c r="L1114" s="2" t="str">
        <f>HYPERLINK("https://docs.wto.org/imrd/directdoc.asp?DDFDocuments/u/G/SPS/NJPN390.DOC")</f>
        <v>https://docs.wto.org/imrd/directdoc.asp?DDFDocuments/u/G/SPS/NJPN390.DOC</v>
      </c>
      <c r="M1114" s="2" t="str">
        <f>HYPERLINK("https://docs.wto.org/imrd/directdoc.asp?DDFDocuments/v/G/SPS/NJPN390.DOC")</f>
        <v>https://docs.wto.org/imrd/directdoc.asp?DDFDocuments/v/G/SPS/NJPN390.DOC</v>
      </c>
      <c r="N1114" s="2" t="str">
        <f>HYPERLINK("http://www.epingalert.org/#/details/G/SPS/N/JPN/390")</f>
        <v>http://www.epingalert.org/#/details/G/SPS/N/JPN/390</v>
      </c>
      <c r="O1114" s="2"/>
    </row>
    <row r="1115" spans="1:15" ht="240" customHeight="1" outlineLevel="1" x14ac:dyDescent="0.25">
      <c r="A1115" s="2" t="s">
        <v>1488</v>
      </c>
      <c r="B1115" s="2" t="s">
        <v>4652</v>
      </c>
      <c r="C1115" s="2"/>
      <c r="D1115" s="2"/>
      <c r="E1115" s="3">
        <v>42037</v>
      </c>
      <c r="F1115" s="2" t="s">
        <v>4653</v>
      </c>
      <c r="G1115" s="2" t="s">
        <v>4654</v>
      </c>
      <c r="H1115" s="2" t="s">
        <v>2425</v>
      </c>
      <c r="I1115" s="2" t="s">
        <v>2491</v>
      </c>
      <c r="J1115" s="2"/>
      <c r="K1115" s="2" t="str">
        <f>HYPERLINK("https://docs.wto.org/imrd/directdoc.asp?DDFDocuments/t/G/SPS/NMEX234A1.DOC")</f>
        <v>https://docs.wto.org/imrd/directdoc.asp?DDFDocuments/t/G/SPS/NMEX234A1.DOC</v>
      </c>
      <c r="L1115" s="2" t="str">
        <f>HYPERLINK("https://docs.wto.org/imrd/directdoc.asp?DDFDocuments/u/G/SPS/NMEX234A1.DOC")</f>
        <v>https://docs.wto.org/imrd/directdoc.asp?DDFDocuments/u/G/SPS/NMEX234A1.DOC</v>
      </c>
      <c r="M1115" s="2" t="str">
        <f>HYPERLINK("https://docs.wto.org/imrd/directdoc.asp?DDFDocuments/v/G/SPS/NMEX234A1.DOC")</f>
        <v>https://docs.wto.org/imrd/directdoc.asp?DDFDocuments/v/G/SPS/NMEX234A1.DOC</v>
      </c>
      <c r="N1115" s="2" t="str">
        <f>HYPERLINK("http://www.epingalert.org/#/details/G/SPS/N/MEX/234/Add.1")</f>
        <v>http://www.epingalert.org/#/details/G/SPS/N/MEX/234/Add.1</v>
      </c>
      <c r="O1115" s="2"/>
    </row>
    <row r="1116" spans="1:15" ht="240" customHeight="1" outlineLevel="1" x14ac:dyDescent="0.25">
      <c r="A1116" s="2" t="s">
        <v>173</v>
      </c>
      <c r="B1116" s="2" t="s">
        <v>7937</v>
      </c>
      <c r="C1116" s="2" t="s">
        <v>7938</v>
      </c>
      <c r="D1116" s="2" t="s">
        <v>7939</v>
      </c>
      <c r="E1116" s="3">
        <v>42034</v>
      </c>
      <c r="F1116" s="2" t="s">
        <v>7940</v>
      </c>
      <c r="G1116" s="2" t="s">
        <v>1968</v>
      </c>
      <c r="H1116" s="2" t="s">
        <v>2425</v>
      </c>
      <c r="I1116" s="2" t="s">
        <v>6503</v>
      </c>
      <c r="J1116" s="3">
        <v>42094</v>
      </c>
      <c r="K1116" s="2" t="str">
        <f>HYPERLINK("https://docs.wto.org/imrd/directdoc.asp?DDFDocuments/t/G/SPS/NSAU141.DOC")</f>
        <v>https://docs.wto.org/imrd/directdoc.asp?DDFDocuments/t/G/SPS/NSAU141.DOC</v>
      </c>
      <c r="L1116" s="2" t="str">
        <f>HYPERLINK("https://docs.wto.org/imrd/directdoc.asp?DDFDocuments/u/G/SPS/NSAU141.DOC")</f>
        <v>https://docs.wto.org/imrd/directdoc.asp?DDFDocuments/u/G/SPS/NSAU141.DOC</v>
      </c>
      <c r="M1116" s="2" t="str">
        <f>HYPERLINK("https://docs.wto.org/imrd/directdoc.asp?DDFDocuments/v/G/SPS/NSAU141.DOC")</f>
        <v>https://docs.wto.org/imrd/directdoc.asp?DDFDocuments/v/G/SPS/NSAU141.DOC</v>
      </c>
      <c r="N1116" s="2" t="str">
        <f>HYPERLINK("http://www.epingalert.org/#/details/G/SPS/N/SAU/141")</f>
        <v>http://www.epingalert.org/#/details/G/SPS/N/SAU/141</v>
      </c>
      <c r="O1116" s="2"/>
    </row>
    <row r="1117" spans="1:15" ht="240" customHeight="1" outlineLevel="1" x14ac:dyDescent="0.25">
      <c r="A1117" s="2" t="s">
        <v>18</v>
      </c>
      <c r="B1117" s="2" t="s">
        <v>7934</v>
      </c>
      <c r="C1117" s="2" t="s">
        <v>7935</v>
      </c>
      <c r="D1117" s="2" t="s">
        <v>7936</v>
      </c>
      <c r="E1117" s="3">
        <v>42034</v>
      </c>
      <c r="F1117" s="2" t="s">
        <v>7093</v>
      </c>
      <c r="G1117" s="2" t="s">
        <v>7363</v>
      </c>
      <c r="H1117" s="2" t="s">
        <v>2425</v>
      </c>
      <c r="I1117" s="2" t="s">
        <v>4622</v>
      </c>
      <c r="J1117" s="3">
        <v>42090</v>
      </c>
      <c r="K1117" s="2" t="str">
        <f>HYPERLINK("https://docs.wto.org/imrd/directdoc.asp?DDFDocuments/t/G/SPS/NUSA2728.DOC")</f>
        <v>https://docs.wto.org/imrd/directdoc.asp?DDFDocuments/t/G/SPS/NUSA2728.DOC</v>
      </c>
      <c r="L1117" s="2" t="str">
        <f>HYPERLINK("https://docs.wto.org/imrd/directdoc.asp?DDFDocuments/u/G/SPS/NUSA2728.DOC")</f>
        <v>https://docs.wto.org/imrd/directdoc.asp?DDFDocuments/u/G/SPS/NUSA2728.DOC</v>
      </c>
      <c r="M1117" s="2" t="str">
        <f>HYPERLINK("https://docs.wto.org/imrd/directdoc.asp?DDFDocuments/v/G/SPS/NUSA2728.DOC")</f>
        <v>https://docs.wto.org/imrd/directdoc.asp?DDFDocuments/v/G/SPS/NUSA2728.DOC</v>
      </c>
      <c r="N1117" s="2" t="str">
        <f>HYPERLINK("http://www.epingalert.org/#/details/G/SPS/N/USA/2728")</f>
        <v>http://www.epingalert.org/#/details/G/SPS/N/USA/2728</v>
      </c>
      <c r="O1117" s="2"/>
    </row>
    <row r="1118" spans="1:15" ht="240" customHeight="1" outlineLevel="1" x14ac:dyDescent="0.25">
      <c r="A1118" s="2" t="s">
        <v>42</v>
      </c>
      <c r="B1118" s="2" t="s">
        <v>4658</v>
      </c>
      <c r="C1118" s="2" t="s">
        <v>3032</v>
      </c>
      <c r="D1118" s="2" t="s">
        <v>4659</v>
      </c>
      <c r="E1118" s="3">
        <v>42034</v>
      </c>
      <c r="F1118" s="2" t="s">
        <v>4659</v>
      </c>
      <c r="G1118" s="2"/>
      <c r="H1118" s="2" t="s">
        <v>2425</v>
      </c>
      <c r="I1118" s="2" t="s">
        <v>2453</v>
      </c>
      <c r="J1118" s="3">
        <v>42060</v>
      </c>
      <c r="K1118" s="2" t="str">
        <f>HYPERLINK("https://docs.wto.org/imrd/directdoc.asp?DDFDocuments/t/G/SPS/NBRA1014.DOC")</f>
        <v>https://docs.wto.org/imrd/directdoc.asp?DDFDocuments/t/G/SPS/NBRA1014.DOC</v>
      </c>
      <c r="L1118" s="2" t="str">
        <f>HYPERLINK("https://docs.wto.org/imrd/directdoc.asp?DDFDocuments/u/G/SPS/NBRA1014.DOC")</f>
        <v>https://docs.wto.org/imrd/directdoc.asp?DDFDocuments/u/G/SPS/NBRA1014.DOC</v>
      </c>
      <c r="M1118" s="2" t="str">
        <f>HYPERLINK("https://docs.wto.org/imrd/directdoc.asp?DDFDocuments/v/G/SPS/NBRA1014.DOC")</f>
        <v>https://docs.wto.org/imrd/directdoc.asp?DDFDocuments/v/G/SPS/NBRA1014.DOC</v>
      </c>
      <c r="N1118" s="2" t="str">
        <f>HYPERLINK("http://www.epingalert.org/#/details/G/SPS/N/BRA/1014")</f>
        <v>http://www.epingalert.org/#/details/G/SPS/N/BRA/1014</v>
      </c>
      <c r="O1118" s="2"/>
    </row>
    <row r="1119" spans="1:15" ht="240" customHeight="1" outlineLevel="1" x14ac:dyDescent="0.25">
      <c r="A1119" s="2" t="s">
        <v>380</v>
      </c>
      <c r="B1119" s="2" t="s">
        <v>4660</v>
      </c>
      <c r="C1119" s="2" t="s">
        <v>4661</v>
      </c>
      <c r="D1119" s="2" t="s">
        <v>4662</v>
      </c>
      <c r="E1119" s="3">
        <v>42033</v>
      </c>
      <c r="F1119" s="2" t="s">
        <v>4663</v>
      </c>
      <c r="G1119" s="2"/>
      <c r="H1119" s="2" t="s">
        <v>2425</v>
      </c>
      <c r="I1119" s="2" t="s">
        <v>2426</v>
      </c>
      <c r="J1119" s="3">
        <v>42093</v>
      </c>
      <c r="K1119" s="2" t="str">
        <f>HYPERLINK("https://docs.wto.org/imrd/directdoc.asp?DDFDocuments/t/G/SPS/NCHN852.DOC")</f>
        <v>https://docs.wto.org/imrd/directdoc.asp?DDFDocuments/t/G/SPS/NCHN852.DOC</v>
      </c>
      <c r="L1119" s="2" t="str">
        <f>HYPERLINK("https://docs.wto.org/imrd/directdoc.asp?DDFDocuments/u/G/SPS/NCHN852.DOC")</f>
        <v>https://docs.wto.org/imrd/directdoc.asp?DDFDocuments/u/G/SPS/NCHN852.DOC</v>
      </c>
      <c r="M1119" s="2" t="str">
        <f>HYPERLINK("https://docs.wto.org/imrd/directdoc.asp?DDFDocuments/v/G/SPS/NCHN852.DOC")</f>
        <v>https://docs.wto.org/imrd/directdoc.asp?DDFDocuments/v/G/SPS/NCHN852.DOC</v>
      </c>
      <c r="N1119" s="2" t="str">
        <f>HYPERLINK("http://www.epingalert.org/#/details/G/SPS/N/CHN/852")</f>
        <v>http://www.epingalert.org/#/details/G/SPS/N/CHN/852</v>
      </c>
      <c r="O1119" s="2"/>
    </row>
    <row r="1120" spans="1:15" ht="240" customHeight="1" outlineLevel="1" x14ac:dyDescent="0.25">
      <c r="A1120" s="2" t="s">
        <v>380</v>
      </c>
      <c r="B1120" s="2" t="s">
        <v>4664</v>
      </c>
      <c r="C1120" s="2" t="s">
        <v>4665</v>
      </c>
      <c r="D1120" s="2" t="s">
        <v>4666</v>
      </c>
      <c r="E1120" s="3">
        <v>42033</v>
      </c>
      <c r="F1120" s="2" t="s">
        <v>4667</v>
      </c>
      <c r="G1120" s="2"/>
      <c r="H1120" s="2" t="s">
        <v>2425</v>
      </c>
      <c r="I1120" s="2" t="s">
        <v>2426</v>
      </c>
      <c r="J1120" s="3">
        <v>42093</v>
      </c>
      <c r="K1120" s="2" t="str">
        <f>HYPERLINK("https://docs.wto.org/imrd/directdoc.asp?DDFDocuments/t/G/SPS/NCHN851.DOC")</f>
        <v>https://docs.wto.org/imrd/directdoc.asp?DDFDocuments/t/G/SPS/NCHN851.DOC</v>
      </c>
      <c r="L1120" s="2" t="str">
        <f>HYPERLINK("https://docs.wto.org/imrd/directdoc.asp?DDFDocuments/u/G/SPS/NCHN851.DOC")</f>
        <v>https://docs.wto.org/imrd/directdoc.asp?DDFDocuments/u/G/SPS/NCHN851.DOC</v>
      </c>
      <c r="M1120" s="2" t="str">
        <f>HYPERLINK("https://docs.wto.org/imrd/directdoc.asp?DDFDocuments/v/G/SPS/NCHN851.DOC")</f>
        <v>https://docs.wto.org/imrd/directdoc.asp?DDFDocuments/v/G/SPS/NCHN851.DOC</v>
      </c>
      <c r="N1120" s="2" t="str">
        <f>HYPERLINK("http://www.epingalert.org/#/details/G/SPS/N/CHN/851")</f>
        <v>http://www.epingalert.org/#/details/G/SPS/N/CHN/851</v>
      </c>
      <c r="O1120" s="2"/>
    </row>
    <row r="1121" spans="1:15" ht="240" customHeight="1" outlineLevel="1" x14ac:dyDescent="0.25">
      <c r="A1121" s="2" t="s">
        <v>380</v>
      </c>
      <c r="B1121" s="2" t="s">
        <v>4668</v>
      </c>
      <c r="C1121" s="2" t="s">
        <v>4669</v>
      </c>
      <c r="D1121" s="2" t="s">
        <v>4670</v>
      </c>
      <c r="E1121" s="3">
        <v>42033</v>
      </c>
      <c r="F1121" s="2" t="s">
        <v>4671</v>
      </c>
      <c r="G1121" s="2"/>
      <c r="H1121" s="2" t="s">
        <v>2425</v>
      </c>
      <c r="I1121" s="2" t="s">
        <v>2426</v>
      </c>
      <c r="J1121" s="3">
        <v>42093</v>
      </c>
      <c r="K1121" s="2" t="str">
        <f>HYPERLINK("https://docs.wto.org/imrd/directdoc.asp?DDFDocuments/t/G/SPS/NCHN850.DOC")</f>
        <v>https://docs.wto.org/imrd/directdoc.asp?DDFDocuments/t/G/SPS/NCHN850.DOC</v>
      </c>
      <c r="L1121" s="2" t="str">
        <f>HYPERLINK("https://docs.wto.org/imrd/directdoc.asp?DDFDocuments/u/G/SPS/NCHN850.DOC")</f>
        <v>https://docs.wto.org/imrd/directdoc.asp?DDFDocuments/u/G/SPS/NCHN850.DOC</v>
      </c>
      <c r="M1121" s="2" t="str">
        <f>HYPERLINK("https://docs.wto.org/imrd/directdoc.asp?DDFDocuments/v/G/SPS/NCHN850.DOC")</f>
        <v>https://docs.wto.org/imrd/directdoc.asp?DDFDocuments/v/G/SPS/NCHN850.DOC</v>
      </c>
      <c r="N1121" s="2" t="str">
        <f>HYPERLINK("http://www.epingalert.org/#/details/G/SPS/N/CHN/850")</f>
        <v>http://www.epingalert.org/#/details/G/SPS/N/CHN/850</v>
      </c>
      <c r="O1121" s="2"/>
    </row>
    <row r="1122" spans="1:15" ht="240" customHeight="1" outlineLevel="1" x14ac:dyDescent="0.25">
      <c r="A1122" s="2" t="s">
        <v>380</v>
      </c>
      <c r="B1122" s="2" t="s">
        <v>4672</v>
      </c>
      <c r="C1122" s="2" t="s">
        <v>4673</v>
      </c>
      <c r="D1122" s="2" t="s">
        <v>4674</v>
      </c>
      <c r="E1122" s="3">
        <v>42033</v>
      </c>
      <c r="F1122" s="2" t="s">
        <v>4675</v>
      </c>
      <c r="G1122" s="2"/>
      <c r="H1122" s="2" t="s">
        <v>2425</v>
      </c>
      <c r="I1122" s="2" t="s">
        <v>2426</v>
      </c>
      <c r="J1122" s="3">
        <v>42093</v>
      </c>
      <c r="K1122" s="2" t="str">
        <f>HYPERLINK("https://docs.wto.org/imrd/directdoc.asp?DDFDocuments/t/G/SPS/NCHN849.DOC")</f>
        <v>https://docs.wto.org/imrd/directdoc.asp?DDFDocuments/t/G/SPS/NCHN849.DOC</v>
      </c>
      <c r="L1122" s="2" t="str">
        <f>HYPERLINK("https://docs.wto.org/imrd/directdoc.asp?DDFDocuments/u/G/SPS/NCHN849.DOC")</f>
        <v>https://docs.wto.org/imrd/directdoc.asp?DDFDocuments/u/G/SPS/NCHN849.DOC</v>
      </c>
      <c r="M1122" s="2" t="str">
        <f>HYPERLINK("https://docs.wto.org/imrd/directdoc.asp?DDFDocuments/v/G/SPS/NCHN849.DOC")</f>
        <v>https://docs.wto.org/imrd/directdoc.asp?DDFDocuments/v/G/SPS/NCHN849.DOC</v>
      </c>
      <c r="N1122" s="2" t="str">
        <f>HYPERLINK("http://www.epingalert.org/#/details/G/SPS/N/CHN/849")</f>
        <v>http://www.epingalert.org/#/details/G/SPS/N/CHN/849</v>
      </c>
      <c r="O1122" s="2"/>
    </row>
    <row r="1123" spans="1:15" ht="240" customHeight="1" outlineLevel="1" x14ac:dyDescent="0.25">
      <c r="A1123" s="2" t="s">
        <v>380</v>
      </c>
      <c r="B1123" s="2" t="s">
        <v>4676</v>
      </c>
      <c r="C1123" s="2" t="s">
        <v>4677</v>
      </c>
      <c r="D1123" s="2" t="s">
        <v>4678</v>
      </c>
      <c r="E1123" s="3">
        <v>42033</v>
      </c>
      <c r="F1123" s="2" t="s">
        <v>4679</v>
      </c>
      <c r="G1123" s="2"/>
      <c r="H1123" s="2" t="s">
        <v>2425</v>
      </c>
      <c r="I1123" s="2" t="s">
        <v>2426</v>
      </c>
      <c r="J1123" s="3">
        <v>42093</v>
      </c>
      <c r="K1123" s="2" t="str">
        <f>HYPERLINK("https://docs.wto.org/imrd/directdoc.asp?DDFDocuments/t/G/SPS/NCHN848.DOC")</f>
        <v>https://docs.wto.org/imrd/directdoc.asp?DDFDocuments/t/G/SPS/NCHN848.DOC</v>
      </c>
      <c r="L1123" s="2" t="str">
        <f>HYPERLINK("https://docs.wto.org/imrd/directdoc.asp?DDFDocuments/u/G/SPS/NCHN848.DOC")</f>
        <v>https://docs.wto.org/imrd/directdoc.asp?DDFDocuments/u/G/SPS/NCHN848.DOC</v>
      </c>
      <c r="M1123" s="2" t="str">
        <f>HYPERLINK("https://docs.wto.org/imrd/directdoc.asp?DDFDocuments/v/G/SPS/NCHN848.DOC")</f>
        <v>https://docs.wto.org/imrd/directdoc.asp?DDFDocuments/v/G/SPS/NCHN848.DOC</v>
      </c>
      <c r="N1123" s="2" t="str">
        <f>HYPERLINK("http://www.epingalert.org/#/details/G/SPS/N/CHN/848")</f>
        <v>http://www.epingalert.org/#/details/G/SPS/N/CHN/848</v>
      </c>
      <c r="O1123" s="2"/>
    </row>
    <row r="1124" spans="1:15" ht="240" customHeight="1" outlineLevel="1" x14ac:dyDescent="0.25">
      <c r="A1124" s="2" t="s">
        <v>380</v>
      </c>
      <c r="B1124" s="2" t="s">
        <v>4680</v>
      </c>
      <c r="C1124" s="2" t="s">
        <v>4681</v>
      </c>
      <c r="D1124" s="2" t="s">
        <v>4682</v>
      </c>
      <c r="E1124" s="3">
        <v>42033</v>
      </c>
      <c r="F1124" s="2" t="s">
        <v>4683</v>
      </c>
      <c r="G1124" s="2"/>
      <c r="H1124" s="2" t="s">
        <v>2425</v>
      </c>
      <c r="I1124" s="2" t="s">
        <v>2426</v>
      </c>
      <c r="J1124" s="3">
        <v>42093</v>
      </c>
      <c r="K1124" s="2" t="str">
        <f>HYPERLINK("https://docs.wto.org/imrd/directdoc.asp?DDFDocuments/t/G/SPS/NCHN847.DOC")</f>
        <v>https://docs.wto.org/imrd/directdoc.asp?DDFDocuments/t/G/SPS/NCHN847.DOC</v>
      </c>
      <c r="L1124" s="2" t="str">
        <f>HYPERLINK("https://docs.wto.org/imrd/directdoc.asp?DDFDocuments/u/G/SPS/NCHN847.DOC")</f>
        <v>https://docs.wto.org/imrd/directdoc.asp?DDFDocuments/u/G/SPS/NCHN847.DOC</v>
      </c>
      <c r="M1124" s="2" t="str">
        <f>HYPERLINK("https://docs.wto.org/imrd/directdoc.asp?DDFDocuments/v/G/SPS/NCHN847.DOC")</f>
        <v>https://docs.wto.org/imrd/directdoc.asp?DDFDocuments/v/G/SPS/NCHN847.DOC</v>
      </c>
      <c r="N1124" s="2" t="str">
        <f>HYPERLINK("http://www.epingalert.org/#/details/G/SPS/N/CHN/847")</f>
        <v>http://www.epingalert.org/#/details/G/SPS/N/CHN/847</v>
      </c>
      <c r="O1124" s="2"/>
    </row>
    <row r="1125" spans="1:15" ht="240" customHeight="1" outlineLevel="1" x14ac:dyDescent="0.25">
      <c r="A1125" s="2" t="s">
        <v>380</v>
      </c>
      <c r="B1125" s="2" t="s">
        <v>4684</v>
      </c>
      <c r="C1125" s="2" t="s">
        <v>4685</v>
      </c>
      <c r="D1125" s="2" t="s">
        <v>4686</v>
      </c>
      <c r="E1125" s="3">
        <v>42033</v>
      </c>
      <c r="F1125" s="2" t="s">
        <v>4687</v>
      </c>
      <c r="G1125" s="2"/>
      <c r="H1125" s="2" t="s">
        <v>2425</v>
      </c>
      <c r="I1125" s="2" t="s">
        <v>2426</v>
      </c>
      <c r="J1125" s="3">
        <v>42093</v>
      </c>
      <c r="K1125" s="2" t="str">
        <f>HYPERLINK("https://docs.wto.org/imrd/directdoc.asp?DDFDocuments/t/G/SPS/NCHN846.DOC")</f>
        <v>https://docs.wto.org/imrd/directdoc.asp?DDFDocuments/t/G/SPS/NCHN846.DOC</v>
      </c>
      <c r="L1125" s="2" t="str">
        <f>HYPERLINK("https://docs.wto.org/imrd/directdoc.asp?DDFDocuments/u/G/SPS/NCHN846.DOC")</f>
        <v>https://docs.wto.org/imrd/directdoc.asp?DDFDocuments/u/G/SPS/NCHN846.DOC</v>
      </c>
      <c r="M1125" s="2" t="str">
        <f>HYPERLINK("https://docs.wto.org/imrd/directdoc.asp?DDFDocuments/v/G/SPS/NCHN846.DOC")</f>
        <v>https://docs.wto.org/imrd/directdoc.asp?DDFDocuments/v/G/SPS/NCHN846.DOC</v>
      </c>
      <c r="N1125" s="2" t="str">
        <f>HYPERLINK("http://www.epingalert.org/#/details/G/SPS/N/CHN/846")</f>
        <v>http://www.epingalert.org/#/details/G/SPS/N/CHN/846</v>
      </c>
      <c r="O1125" s="2"/>
    </row>
    <row r="1126" spans="1:15" ht="240" customHeight="1" outlineLevel="1" x14ac:dyDescent="0.25">
      <c r="A1126" s="2" t="s">
        <v>380</v>
      </c>
      <c r="B1126" s="2" t="s">
        <v>4688</v>
      </c>
      <c r="C1126" s="2" t="s">
        <v>4689</v>
      </c>
      <c r="D1126" s="2" t="s">
        <v>4690</v>
      </c>
      <c r="E1126" s="3">
        <v>42033</v>
      </c>
      <c r="F1126" s="2" t="s">
        <v>4691</v>
      </c>
      <c r="G1126" s="2"/>
      <c r="H1126" s="2" t="s">
        <v>2425</v>
      </c>
      <c r="I1126" s="2" t="s">
        <v>2426</v>
      </c>
      <c r="J1126" s="3">
        <v>42093</v>
      </c>
      <c r="K1126" s="2" t="str">
        <f>HYPERLINK("https://docs.wto.org/imrd/directdoc.asp?DDFDocuments/t/G/SPS/NCHN845.DOC")</f>
        <v>https://docs.wto.org/imrd/directdoc.asp?DDFDocuments/t/G/SPS/NCHN845.DOC</v>
      </c>
      <c r="L1126" s="2" t="str">
        <f>HYPERLINK("https://docs.wto.org/imrd/directdoc.asp?DDFDocuments/u/G/SPS/NCHN845.DOC")</f>
        <v>https://docs.wto.org/imrd/directdoc.asp?DDFDocuments/u/G/SPS/NCHN845.DOC</v>
      </c>
      <c r="M1126" s="2" t="str">
        <f>HYPERLINK("https://docs.wto.org/imrd/directdoc.asp?DDFDocuments/v/G/SPS/NCHN845.DOC")</f>
        <v>https://docs.wto.org/imrd/directdoc.asp?DDFDocuments/v/G/SPS/NCHN845.DOC</v>
      </c>
      <c r="N1126" s="2" t="str">
        <f>HYPERLINK("http://www.epingalert.org/#/details/G/SPS/N/CHN/845")</f>
        <v>http://www.epingalert.org/#/details/G/SPS/N/CHN/845</v>
      </c>
      <c r="O1126" s="2"/>
    </row>
    <row r="1127" spans="1:15" ht="240" customHeight="1" outlineLevel="1" x14ac:dyDescent="0.25">
      <c r="A1127" s="2" t="s">
        <v>380</v>
      </c>
      <c r="B1127" s="2" t="s">
        <v>4692</v>
      </c>
      <c r="C1127" s="2" t="s">
        <v>4693</v>
      </c>
      <c r="D1127" s="2" t="s">
        <v>4694</v>
      </c>
      <c r="E1127" s="3">
        <v>42033</v>
      </c>
      <c r="F1127" s="2" t="s">
        <v>4695</v>
      </c>
      <c r="G1127" s="2"/>
      <c r="H1127" s="2" t="s">
        <v>2425</v>
      </c>
      <c r="I1127" s="2" t="s">
        <v>2426</v>
      </c>
      <c r="J1127" s="3">
        <v>42093</v>
      </c>
      <c r="K1127" s="2" t="str">
        <f>HYPERLINK("https://docs.wto.org/imrd/directdoc.asp?DDFDocuments/t/G/SPS/NCHN844.DOC")</f>
        <v>https://docs.wto.org/imrd/directdoc.asp?DDFDocuments/t/G/SPS/NCHN844.DOC</v>
      </c>
      <c r="L1127" s="2" t="str">
        <f>HYPERLINK("https://docs.wto.org/imrd/directdoc.asp?DDFDocuments/u/G/SPS/NCHN844.DOC")</f>
        <v>https://docs.wto.org/imrd/directdoc.asp?DDFDocuments/u/G/SPS/NCHN844.DOC</v>
      </c>
      <c r="M1127" s="2" t="str">
        <f>HYPERLINK("https://docs.wto.org/imrd/directdoc.asp?DDFDocuments/v/G/SPS/NCHN844.DOC")</f>
        <v>https://docs.wto.org/imrd/directdoc.asp?DDFDocuments/v/G/SPS/NCHN844.DOC</v>
      </c>
      <c r="N1127" s="2" t="str">
        <f>HYPERLINK("http://www.epingalert.org/#/details/G/SPS/N/CHN/844")</f>
        <v>http://www.epingalert.org/#/details/G/SPS/N/CHN/844</v>
      </c>
      <c r="O1127" s="2"/>
    </row>
    <row r="1128" spans="1:15" ht="240" customHeight="1" outlineLevel="1" x14ac:dyDescent="0.25">
      <c r="A1128" s="2" t="s">
        <v>380</v>
      </c>
      <c r="B1128" s="2" t="s">
        <v>4696</v>
      </c>
      <c r="C1128" s="2" t="s">
        <v>4697</v>
      </c>
      <c r="D1128" s="2" t="s">
        <v>4698</v>
      </c>
      <c r="E1128" s="3">
        <v>42033</v>
      </c>
      <c r="F1128" s="2" t="s">
        <v>4699</v>
      </c>
      <c r="G1128" s="2"/>
      <c r="H1128" s="2" t="s">
        <v>2425</v>
      </c>
      <c r="I1128" s="2" t="s">
        <v>2426</v>
      </c>
      <c r="J1128" s="3">
        <v>42093</v>
      </c>
      <c r="K1128" s="2" t="str">
        <f>HYPERLINK("https://docs.wto.org/imrd/directdoc.asp?DDFDocuments/t/G/SPS/NCHN843.DOC")</f>
        <v>https://docs.wto.org/imrd/directdoc.asp?DDFDocuments/t/G/SPS/NCHN843.DOC</v>
      </c>
      <c r="L1128" s="2" t="str">
        <f>HYPERLINK("https://docs.wto.org/imrd/directdoc.asp?DDFDocuments/u/G/SPS/NCHN843.DOC")</f>
        <v>https://docs.wto.org/imrd/directdoc.asp?DDFDocuments/u/G/SPS/NCHN843.DOC</v>
      </c>
      <c r="M1128" s="2" t="str">
        <f>HYPERLINK("https://docs.wto.org/imrd/directdoc.asp?DDFDocuments/v/G/SPS/NCHN843.DOC")</f>
        <v>https://docs.wto.org/imrd/directdoc.asp?DDFDocuments/v/G/SPS/NCHN843.DOC</v>
      </c>
      <c r="N1128" s="2" t="str">
        <f>HYPERLINK("http://www.epingalert.org/#/details/G/SPS/N/CHN/843")</f>
        <v>http://www.epingalert.org/#/details/G/SPS/N/CHN/843</v>
      </c>
      <c r="O1128" s="2"/>
    </row>
    <row r="1129" spans="1:15" ht="240" customHeight="1" outlineLevel="1" x14ac:dyDescent="0.25">
      <c r="A1129" s="2" t="s">
        <v>380</v>
      </c>
      <c r="B1129" s="2" t="s">
        <v>4700</v>
      </c>
      <c r="C1129" s="2" t="s">
        <v>4701</v>
      </c>
      <c r="D1129" s="2" t="s">
        <v>4702</v>
      </c>
      <c r="E1129" s="3">
        <v>42033</v>
      </c>
      <c r="F1129" s="2" t="s">
        <v>4703</v>
      </c>
      <c r="G1129" s="2"/>
      <c r="H1129" s="2" t="s">
        <v>2425</v>
      </c>
      <c r="I1129" s="2" t="s">
        <v>2426</v>
      </c>
      <c r="J1129" s="3">
        <v>42093</v>
      </c>
      <c r="K1129" s="2" t="str">
        <f>HYPERLINK("https://docs.wto.org/imrd/directdoc.asp?DDFDocuments/t/G/SPS/NCHN842.DOC")</f>
        <v>https://docs.wto.org/imrd/directdoc.asp?DDFDocuments/t/G/SPS/NCHN842.DOC</v>
      </c>
      <c r="L1129" s="2" t="str">
        <f>HYPERLINK("https://docs.wto.org/imrd/directdoc.asp?DDFDocuments/u/G/SPS/NCHN842.DOC")</f>
        <v>https://docs.wto.org/imrd/directdoc.asp?DDFDocuments/u/G/SPS/NCHN842.DOC</v>
      </c>
      <c r="M1129" s="2" t="str">
        <f>HYPERLINK("https://docs.wto.org/imrd/directdoc.asp?DDFDocuments/v/G/SPS/NCHN842.DOC")</f>
        <v>https://docs.wto.org/imrd/directdoc.asp?DDFDocuments/v/G/SPS/NCHN842.DOC</v>
      </c>
      <c r="N1129" s="2" t="str">
        <f>HYPERLINK("http://www.epingalert.org/#/details/G/SPS/N/CHN/842")</f>
        <v>http://www.epingalert.org/#/details/G/SPS/N/CHN/842</v>
      </c>
      <c r="O1129" s="2"/>
    </row>
    <row r="1130" spans="1:15" ht="240" customHeight="1" outlineLevel="1" x14ac:dyDescent="0.25">
      <c r="A1130" s="2" t="s">
        <v>380</v>
      </c>
      <c r="B1130" s="2" t="s">
        <v>4704</v>
      </c>
      <c r="C1130" s="2" t="s">
        <v>4705</v>
      </c>
      <c r="D1130" s="2" t="s">
        <v>4706</v>
      </c>
      <c r="E1130" s="3">
        <v>42033</v>
      </c>
      <c r="F1130" s="2" t="s">
        <v>4707</v>
      </c>
      <c r="G1130" s="2"/>
      <c r="H1130" s="2" t="s">
        <v>2425</v>
      </c>
      <c r="I1130" s="2" t="s">
        <v>2426</v>
      </c>
      <c r="J1130" s="3">
        <v>42093</v>
      </c>
      <c r="K1130" s="2" t="str">
        <f>HYPERLINK("https://docs.wto.org/imrd/directdoc.asp?DDFDocuments/t/G/SPS/NCHN841.DOC")</f>
        <v>https://docs.wto.org/imrd/directdoc.asp?DDFDocuments/t/G/SPS/NCHN841.DOC</v>
      </c>
      <c r="L1130" s="2" t="str">
        <f>HYPERLINK("https://docs.wto.org/imrd/directdoc.asp?DDFDocuments/u/G/SPS/NCHN841.DOC")</f>
        <v>https://docs.wto.org/imrd/directdoc.asp?DDFDocuments/u/G/SPS/NCHN841.DOC</v>
      </c>
      <c r="M1130" s="2" t="str">
        <f>HYPERLINK("https://docs.wto.org/imrd/directdoc.asp?DDFDocuments/v/G/SPS/NCHN841.DOC")</f>
        <v>https://docs.wto.org/imrd/directdoc.asp?DDFDocuments/v/G/SPS/NCHN841.DOC</v>
      </c>
      <c r="N1130" s="2" t="str">
        <f>HYPERLINK("http://www.epingalert.org/#/details/G/SPS/N/CHN/841")</f>
        <v>http://www.epingalert.org/#/details/G/SPS/N/CHN/841</v>
      </c>
      <c r="O1130" s="2"/>
    </row>
    <row r="1131" spans="1:15" ht="240" customHeight="1" outlineLevel="1" x14ac:dyDescent="0.25">
      <c r="A1131" s="2" t="s">
        <v>380</v>
      </c>
      <c r="B1131" s="2" t="s">
        <v>4708</v>
      </c>
      <c r="C1131" s="2" t="s">
        <v>4709</v>
      </c>
      <c r="D1131" s="2" t="s">
        <v>4710</v>
      </c>
      <c r="E1131" s="3">
        <v>42033</v>
      </c>
      <c r="F1131" s="2" t="s">
        <v>4711</v>
      </c>
      <c r="G1131" s="2"/>
      <c r="H1131" s="2" t="s">
        <v>2425</v>
      </c>
      <c r="I1131" s="2" t="s">
        <v>2426</v>
      </c>
      <c r="J1131" s="3">
        <v>42093</v>
      </c>
      <c r="K1131" s="2" t="str">
        <f>HYPERLINK("https://docs.wto.org/imrd/directdoc.asp?DDFDocuments/t/G/SPS/NCHN840.DOC")</f>
        <v>https://docs.wto.org/imrd/directdoc.asp?DDFDocuments/t/G/SPS/NCHN840.DOC</v>
      </c>
      <c r="L1131" s="2" t="str">
        <f>HYPERLINK("https://docs.wto.org/imrd/directdoc.asp?DDFDocuments/u/G/SPS/NCHN840.DOC")</f>
        <v>https://docs.wto.org/imrd/directdoc.asp?DDFDocuments/u/G/SPS/NCHN840.DOC</v>
      </c>
      <c r="M1131" s="2" t="str">
        <f>HYPERLINK("https://docs.wto.org/imrd/directdoc.asp?DDFDocuments/v/G/SPS/NCHN840.DOC")</f>
        <v>https://docs.wto.org/imrd/directdoc.asp?DDFDocuments/v/G/SPS/NCHN840.DOC</v>
      </c>
      <c r="N1131" s="2" t="str">
        <f>HYPERLINK("http://www.epingalert.org/#/details/G/SPS/N/CHN/840")</f>
        <v>http://www.epingalert.org/#/details/G/SPS/N/CHN/840</v>
      </c>
      <c r="O1131" s="2"/>
    </row>
    <row r="1132" spans="1:15" ht="240" customHeight="1" outlineLevel="1" x14ac:dyDescent="0.25">
      <c r="A1132" s="2" t="s">
        <v>380</v>
      </c>
      <c r="B1132" s="2" t="s">
        <v>4712</v>
      </c>
      <c r="C1132" s="2" t="s">
        <v>4713</v>
      </c>
      <c r="D1132" s="2" t="s">
        <v>4714</v>
      </c>
      <c r="E1132" s="3">
        <v>42033</v>
      </c>
      <c r="F1132" s="2" t="s">
        <v>4715</v>
      </c>
      <c r="G1132" s="2"/>
      <c r="H1132" s="2" t="s">
        <v>2425</v>
      </c>
      <c r="I1132" s="2" t="s">
        <v>2426</v>
      </c>
      <c r="J1132" s="3">
        <v>42093</v>
      </c>
      <c r="K1132" s="2" t="str">
        <f>HYPERLINK("https://docs.wto.org/imrd/directdoc.asp?DDFDocuments/t/G/SPS/NCHN839.DOC")</f>
        <v>https://docs.wto.org/imrd/directdoc.asp?DDFDocuments/t/G/SPS/NCHN839.DOC</v>
      </c>
      <c r="L1132" s="2" t="str">
        <f>HYPERLINK("https://docs.wto.org/imrd/directdoc.asp?DDFDocuments/u/G/SPS/NCHN839.DOC")</f>
        <v>https://docs.wto.org/imrd/directdoc.asp?DDFDocuments/u/G/SPS/NCHN839.DOC</v>
      </c>
      <c r="M1132" s="2" t="str">
        <f>HYPERLINK("https://docs.wto.org/imrd/directdoc.asp?DDFDocuments/v/G/SPS/NCHN839.DOC")</f>
        <v>https://docs.wto.org/imrd/directdoc.asp?DDFDocuments/v/G/SPS/NCHN839.DOC</v>
      </c>
      <c r="N1132" s="2" t="str">
        <f>HYPERLINK("http://www.epingalert.org/#/details/G/SPS/N/CHN/839")</f>
        <v>http://www.epingalert.org/#/details/G/SPS/N/CHN/839</v>
      </c>
      <c r="O1132" s="2"/>
    </row>
    <row r="1133" spans="1:15" ht="240" customHeight="1" outlineLevel="1" x14ac:dyDescent="0.25">
      <c r="A1133" s="2" t="s">
        <v>380</v>
      </c>
      <c r="B1133" s="2" t="s">
        <v>4716</v>
      </c>
      <c r="C1133" s="2" t="s">
        <v>4717</v>
      </c>
      <c r="D1133" s="2" t="s">
        <v>4718</v>
      </c>
      <c r="E1133" s="3">
        <v>42032</v>
      </c>
      <c r="F1133" s="2" t="s">
        <v>4719</v>
      </c>
      <c r="G1133" s="2"/>
      <c r="H1133" s="2" t="s">
        <v>2425</v>
      </c>
      <c r="I1133" s="2" t="s">
        <v>2426</v>
      </c>
      <c r="J1133" s="3">
        <v>42092</v>
      </c>
      <c r="K1133" s="2" t="str">
        <f>HYPERLINK("https://docs.wto.org/imrd/directdoc.asp?DDFDocuments/t/G/SPS/NCHN838.DOC")</f>
        <v>https://docs.wto.org/imrd/directdoc.asp?DDFDocuments/t/G/SPS/NCHN838.DOC</v>
      </c>
      <c r="L1133" s="2" t="str">
        <f>HYPERLINK("https://docs.wto.org/imrd/directdoc.asp?DDFDocuments/u/G/SPS/NCHN838.DOC")</f>
        <v>https://docs.wto.org/imrd/directdoc.asp?DDFDocuments/u/G/SPS/NCHN838.DOC</v>
      </c>
      <c r="M1133" s="2" t="str">
        <f>HYPERLINK("https://docs.wto.org/imrd/directdoc.asp?DDFDocuments/v/G/SPS/NCHN838.DOC")</f>
        <v>https://docs.wto.org/imrd/directdoc.asp?DDFDocuments/v/G/SPS/NCHN838.DOC</v>
      </c>
      <c r="N1133" s="2" t="str">
        <f>HYPERLINK("http://www.epingalert.org/#/details/G/SPS/N/CHN/838")</f>
        <v>http://www.epingalert.org/#/details/G/SPS/N/CHN/838</v>
      </c>
      <c r="O1133" s="2"/>
    </row>
    <row r="1134" spans="1:15" ht="240" customHeight="1" outlineLevel="1" x14ac:dyDescent="0.25">
      <c r="A1134" s="2" t="s">
        <v>380</v>
      </c>
      <c r="B1134" s="2" t="s">
        <v>4720</v>
      </c>
      <c r="C1134" s="2" t="s">
        <v>4721</v>
      </c>
      <c r="D1134" s="2" t="s">
        <v>4722</v>
      </c>
      <c r="E1134" s="3">
        <v>42032</v>
      </c>
      <c r="F1134" s="2" t="s">
        <v>4723</v>
      </c>
      <c r="G1134" s="2"/>
      <c r="H1134" s="2" t="s">
        <v>2425</v>
      </c>
      <c r="I1134" s="2" t="s">
        <v>2426</v>
      </c>
      <c r="J1134" s="3">
        <v>42092</v>
      </c>
      <c r="K1134" s="2" t="str">
        <f>HYPERLINK("https://docs.wto.org/imrd/directdoc.asp?DDFDocuments/t/G/SPS/NCHN837.DOC")</f>
        <v>https://docs.wto.org/imrd/directdoc.asp?DDFDocuments/t/G/SPS/NCHN837.DOC</v>
      </c>
      <c r="L1134" s="2" t="str">
        <f>HYPERLINK("https://docs.wto.org/imrd/directdoc.asp?DDFDocuments/u/G/SPS/NCHN837.DOC")</f>
        <v>https://docs.wto.org/imrd/directdoc.asp?DDFDocuments/u/G/SPS/NCHN837.DOC</v>
      </c>
      <c r="M1134" s="2" t="str">
        <f>HYPERLINK("https://docs.wto.org/imrd/directdoc.asp?DDFDocuments/v/G/SPS/NCHN837.DOC")</f>
        <v>https://docs.wto.org/imrd/directdoc.asp?DDFDocuments/v/G/SPS/NCHN837.DOC</v>
      </c>
      <c r="N1134" s="2" t="str">
        <f>HYPERLINK("http://www.epingalert.org/#/details/G/SPS/N/CHN/837")</f>
        <v>http://www.epingalert.org/#/details/G/SPS/N/CHN/837</v>
      </c>
      <c r="O1134" s="2"/>
    </row>
    <row r="1135" spans="1:15" ht="240" customHeight="1" outlineLevel="1" x14ac:dyDescent="0.25">
      <c r="A1135" s="2" t="s">
        <v>380</v>
      </c>
      <c r="B1135" s="2" t="s">
        <v>4724</v>
      </c>
      <c r="C1135" s="2" t="s">
        <v>4725</v>
      </c>
      <c r="D1135" s="2" t="s">
        <v>4726</v>
      </c>
      <c r="E1135" s="3">
        <v>42032</v>
      </c>
      <c r="F1135" s="2" t="s">
        <v>4727</v>
      </c>
      <c r="G1135" s="2"/>
      <c r="H1135" s="2" t="s">
        <v>2425</v>
      </c>
      <c r="I1135" s="2" t="s">
        <v>2426</v>
      </c>
      <c r="J1135" s="3">
        <v>42092</v>
      </c>
      <c r="K1135" s="2" t="str">
        <f>HYPERLINK("https://docs.wto.org/imrd/directdoc.asp?DDFDocuments/t/G/SPS/NCHN836.DOC")</f>
        <v>https://docs.wto.org/imrd/directdoc.asp?DDFDocuments/t/G/SPS/NCHN836.DOC</v>
      </c>
      <c r="L1135" s="2" t="str">
        <f>HYPERLINK("https://docs.wto.org/imrd/directdoc.asp?DDFDocuments/u/G/SPS/NCHN836.DOC")</f>
        <v>https://docs.wto.org/imrd/directdoc.asp?DDFDocuments/u/G/SPS/NCHN836.DOC</v>
      </c>
      <c r="M1135" s="2" t="str">
        <f>HYPERLINK("https://docs.wto.org/imrd/directdoc.asp?DDFDocuments/v/G/SPS/NCHN836.DOC")</f>
        <v>https://docs.wto.org/imrd/directdoc.asp?DDFDocuments/v/G/SPS/NCHN836.DOC</v>
      </c>
      <c r="N1135" s="2" t="str">
        <f>HYPERLINK("http://www.epingalert.org/#/details/G/SPS/N/CHN/836")</f>
        <v>http://www.epingalert.org/#/details/G/SPS/N/CHN/836</v>
      </c>
      <c r="O1135" s="2"/>
    </row>
    <row r="1136" spans="1:15" ht="240" customHeight="1" outlineLevel="1" x14ac:dyDescent="0.25">
      <c r="A1136" s="2" t="s">
        <v>380</v>
      </c>
      <c r="B1136" s="2" t="s">
        <v>4728</v>
      </c>
      <c r="C1136" s="2" t="s">
        <v>4729</v>
      </c>
      <c r="D1136" s="2" t="s">
        <v>4730</v>
      </c>
      <c r="E1136" s="3">
        <v>42032</v>
      </c>
      <c r="F1136" s="2" t="s">
        <v>4731</v>
      </c>
      <c r="G1136" s="2"/>
      <c r="H1136" s="2" t="s">
        <v>2425</v>
      </c>
      <c r="I1136" s="2" t="s">
        <v>2426</v>
      </c>
      <c r="J1136" s="3">
        <v>42092</v>
      </c>
      <c r="K1136" s="2" t="str">
        <f>HYPERLINK("https://docs.wto.org/imrd/directdoc.asp?DDFDocuments/t/G/SPS/NCHN835.DOC")</f>
        <v>https://docs.wto.org/imrd/directdoc.asp?DDFDocuments/t/G/SPS/NCHN835.DOC</v>
      </c>
      <c r="L1136" s="2" t="str">
        <f>HYPERLINK("https://docs.wto.org/imrd/directdoc.asp?DDFDocuments/u/G/SPS/NCHN835.DOC")</f>
        <v>https://docs.wto.org/imrd/directdoc.asp?DDFDocuments/u/G/SPS/NCHN835.DOC</v>
      </c>
      <c r="M1136" s="2" t="str">
        <f>HYPERLINK("https://docs.wto.org/imrd/directdoc.asp?DDFDocuments/v/G/SPS/NCHN835.DOC")</f>
        <v>https://docs.wto.org/imrd/directdoc.asp?DDFDocuments/v/G/SPS/NCHN835.DOC</v>
      </c>
      <c r="N1136" s="2" t="str">
        <f>HYPERLINK("http://www.epingalert.org/#/details/G/SPS/N/CHN/835")</f>
        <v>http://www.epingalert.org/#/details/G/SPS/N/CHN/835</v>
      </c>
      <c r="O1136" s="2"/>
    </row>
    <row r="1137" spans="1:15" ht="240" customHeight="1" outlineLevel="1" x14ac:dyDescent="0.25">
      <c r="A1137" s="2" t="s">
        <v>380</v>
      </c>
      <c r="B1137" s="2" t="s">
        <v>4732</v>
      </c>
      <c r="C1137" s="2" t="s">
        <v>4733</v>
      </c>
      <c r="D1137" s="2" t="s">
        <v>4734</v>
      </c>
      <c r="E1137" s="3">
        <v>42032</v>
      </c>
      <c r="F1137" s="2" t="s">
        <v>4735</v>
      </c>
      <c r="G1137" s="2"/>
      <c r="H1137" s="2" t="s">
        <v>2425</v>
      </c>
      <c r="I1137" s="2" t="s">
        <v>2426</v>
      </c>
      <c r="J1137" s="3">
        <v>42092</v>
      </c>
      <c r="K1137" s="2" t="str">
        <f>HYPERLINK("https://docs.wto.org/imrd/directdoc.asp?DDFDocuments/t/G/SPS/NCHN834.DOC")</f>
        <v>https://docs.wto.org/imrd/directdoc.asp?DDFDocuments/t/G/SPS/NCHN834.DOC</v>
      </c>
      <c r="L1137" s="2" t="str">
        <f>HYPERLINK("https://docs.wto.org/imrd/directdoc.asp?DDFDocuments/u/G/SPS/NCHN834.DOC")</f>
        <v>https://docs.wto.org/imrd/directdoc.asp?DDFDocuments/u/G/SPS/NCHN834.DOC</v>
      </c>
      <c r="M1137" s="2" t="str">
        <f>HYPERLINK("https://docs.wto.org/imrd/directdoc.asp?DDFDocuments/v/G/SPS/NCHN834.DOC")</f>
        <v>https://docs.wto.org/imrd/directdoc.asp?DDFDocuments/v/G/SPS/NCHN834.DOC</v>
      </c>
      <c r="N1137" s="2" t="str">
        <f>HYPERLINK("http://www.epingalert.org/#/details/G/SPS/N/CHN/834")</f>
        <v>http://www.epingalert.org/#/details/G/SPS/N/CHN/834</v>
      </c>
      <c r="O1137" s="2"/>
    </row>
    <row r="1138" spans="1:15" ht="240" customHeight="1" outlineLevel="1" x14ac:dyDescent="0.25">
      <c r="A1138" s="2" t="s">
        <v>380</v>
      </c>
      <c r="B1138" s="2" t="s">
        <v>4736</v>
      </c>
      <c r="C1138" s="2" t="s">
        <v>4737</v>
      </c>
      <c r="D1138" s="2" t="s">
        <v>4738</v>
      </c>
      <c r="E1138" s="3">
        <v>42032</v>
      </c>
      <c r="F1138" s="2" t="s">
        <v>4739</v>
      </c>
      <c r="G1138" s="2"/>
      <c r="H1138" s="2" t="s">
        <v>2425</v>
      </c>
      <c r="I1138" s="2" t="s">
        <v>2426</v>
      </c>
      <c r="J1138" s="3">
        <v>42092</v>
      </c>
      <c r="K1138" s="2" t="str">
        <f>HYPERLINK("https://docs.wto.org/imrd/directdoc.asp?DDFDocuments/t/G/SPS/NCHN833.DOC")</f>
        <v>https://docs.wto.org/imrd/directdoc.asp?DDFDocuments/t/G/SPS/NCHN833.DOC</v>
      </c>
      <c r="L1138" s="2" t="str">
        <f>HYPERLINK("https://docs.wto.org/imrd/directdoc.asp?DDFDocuments/u/G/SPS/NCHN833.DOC")</f>
        <v>https://docs.wto.org/imrd/directdoc.asp?DDFDocuments/u/G/SPS/NCHN833.DOC</v>
      </c>
      <c r="M1138" s="2" t="str">
        <f>HYPERLINK("https://docs.wto.org/imrd/directdoc.asp?DDFDocuments/v/G/SPS/NCHN833.DOC")</f>
        <v>https://docs.wto.org/imrd/directdoc.asp?DDFDocuments/v/G/SPS/NCHN833.DOC</v>
      </c>
      <c r="N1138" s="2" t="str">
        <f>HYPERLINK("http://www.epingalert.org/#/details/G/SPS/N/CHN/833")</f>
        <v>http://www.epingalert.org/#/details/G/SPS/N/CHN/833</v>
      </c>
      <c r="O1138" s="2"/>
    </row>
    <row r="1139" spans="1:15" ht="240" customHeight="1" outlineLevel="1" x14ac:dyDescent="0.25">
      <c r="A1139" s="2" t="s">
        <v>380</v>
      </c>
      <c r="B1139" s="2" t="s">
        <v>4740</v>
      </c>
      <c r="C1139" s="2" t="s">
        <v>4741</v>
      </c>
      <c r="D1139" s="2" t="s">
        <v>4742</v>
      </c>
      <c r="E1139" s="3">
        <v>42032</v>
      </c>
      <c r="F1139" s="2" t="s">
        <v>4743</v>
      </c>
      <c r="G1139" s="2"/>
      <c r="H1139" s="2" t="s">
        <v>2425</v>
      </c>
      <c r="I1139" s="2" t="s">
        <v>2426</v>
      </c>
      <c r="J1139" s="3">
        <v>42092</v>
      </c>
      <c r="K1139" s="2" t="str">
        <f>HYPERLINK("https://docs.wto.org/imrd/directdoc.asp?DDFDocuments/t/G/SPS/NCHN832.DOC")</f>
        <v>https://docs.wto.org/imrd/directdoc.asp?DDFDocuments/t/G/SPS/NCHN832.DOC</v>
      </c>
      <c r="L1139" s="2" t="str">
        <f>HYPERLINK("https://docs.wto.org/imrd/directdoc.asp?DDFDocuments/u/G/SPS/NCHN832.DOC")</f>
        <v>https://docs.wto.org/imrd/directdoc.asp?DDFDocuments/u/G/SPS/NCHN832.DOC</v>
      </c>
      <c r="M1139" s="2" t="str">
        <f>HYPERLINK("https://docs.wto.org/imrd/directdoc.asp?DDFDocuments/v/G/SPS/NCHN832.DOC")</f>
        <v>https://docs.wto.org/imrd/directdoc.asp?DDFDocuments/v/G/SPS/NCHN832.DOC</v>
      </c>
      <c r="N1139" s="2" t="str">
        <f>HYPERLINK("http://www.epingalert.org/#/details/G/SPS/N/CHN/832")</f>
        <v>http://www.epingalert.org/#/details/G/SPS/N/CHN/832</v>
      </c>
      <c r="O1139" s="2"/>
    </row>
    <row r="1140" spans="1:15" ht="240" customHeight="1" outlineLevel="1" x14ac:dyDescent="0.25">
      <c r="A1140" s="2" t="s">
        <v>380</v>
      </c>
      <c r="B1140" s="2" t="s">
        <v>4744</v>
      </c>
      <c r="C1140" s="2" t="s">
        <v>4745</v>
      </c>
      <c r="D1140" s="2" t="s">
        <v>4746</v>
      </c>
      <c r="E1140" s="3">
        <v>42032</v>
      </c>
      <c r="F1140" s="2" t="s">
        <v>4747</v>
      </c>
      <c r="G1140" s="2"/>
      <c r="H1140" s="2" t="s">
        <v>2425</v>
      </c>
      <c r="I1140" s="2" t="s">
        <v>2426</v>
      </c>
      <c r="J1140" s="3">
        <v>42092</v>
      </c>
      <c r="K1140" s="2" t="str">
        <f>HYPERLINK("https://docs.wto.org/imrd/directdoc.asp?DDFDocuments/t/G/SPS/NCHN831.DOC")</f>
        <v>https://docs.wto.org/imrd/directdoc.asp?DDFDocuments/t/G/SPS/NCHN831.DOC</v>
      </c>
      <c r="L1140" s="2" t="str">
        <f>HYPERLINK("https://docs.wto.org/imrd/directdoc.asp?DDFDocuments/u/G/SPS/NCHN831.DOC")</f>
        <v>https://docs.wto.org/imrd/directdoc.asp?DDFDocuments/u/G/SPS/NCHN831.DOC</v>
      </c>
      <c r="M1140" s="2" t="str">
        <f>HYPERLINK("https://docs.wto.org/imrd/directdoc.asp?DDFDocuments/v/G/SPS/NCHN831.DOC")</f>
        <v>https://docs.wto.org/imrd/directdoc.asp?DDFDocuments/v/G/SPS/NCHN831.DOC</v>
      </c>
      <c r="N1140" s="2" t="str">
        <f>HYPERLINK("http://www.epingalert.org/#/details/G/SPS/N/CHN/831")</f>
        <v>http://www.epingalert.org/#/details/G/SPS/N/CHN/831</v>
      </c>
      <c r="O1140" s="2"/>
    </row>
    <row r="1141" spans="1:15" ht="240" customHeight="1" outlineLevel="1" x14ac:dyDescent="0.25">
      <c r="A1141" s="2" t="s">
        <v>380</v>
      </c>
      <c r="B1141" s="2" t="s">
        <v>4748</v>
      </c>
      <c r="C1141" s="2" t="s">
        <v>4749</v>
      </c>
      <c r="D1141" s="2" t="s">
        <v>4750</v>
      </c>
      <c r="E1141" s="3">
        <v>42032</v>
      </c>
      <c r="F1141" s="2" t="s">
        <v>4751</v>
      </c>
      <c r="G1141" s="2"/>
      <c r="H1141" s="2" t="s">
        <v>2425</v>
      </c>
      <c r="I1141" s="2" t="s">
        <v>2426</v>
      </c>
      <c r="J1141" s="3">
        <v>42092</v>
      </c>
      <c r="K1141" s="2" t="str">
        <f>HYPERLINK("https://docs.wto.org/imrd/directdoc.asp?DDFDocuments/t/G/SPS/NCHN830.DOC")</f>
        <v>https://docs.wto.org/imrd/directdoc.asp?DDFDocuments/t/G/SPS/NCHN830.DOC</v>
      </c>
      <c r="L1141" s="2" t="str">
        <f>HYPERLINK("https://docs.wto.org/imrd/directdoc.asp?DDFDocuments/u/G/SPS/NCHN830.DOC")</f>
        <v>https://docs.wto.org/imrd/directdoc.asp?DDFDocuments/u/G/SPS/NCHN830.DOC</v>
      </c>
      <c r="M1141" s="2" t="str">
        <f>HYPERLINK("https://docs.wto.org/imrd/directdoc.asp?DDFDocuments/v/G/SPS/NCHN830.DOC")</f>
        <v>https://docs.wto.org/imrd/directdoc.asp?DDFDocuments/v/G/SPS/NCHN830.DOC</v>
      </c>
      <c r="N1141" s="2" t="str">
        <f>HYPERLINK("http://www.epingalert.org/#/details/G/SPS/N/CHN/830")</f>
        <v>http://www.epingalert.org/#/details/G/SPS/N/CHN/830</v>
      </c>
      <c r="O1141" s="2"/>
    </row>
    <row r="1142" spans="1:15" ht="240" customHeight="1" outlineLevel="1" x14ac:dyDescent="0.25">
      <c r="A1142" s="2" t="s">
        <v>380</v>
      </c>
      <c r="B1142" s="2" t="s">
        <v>4752</v>
      </c>
      <c r="C1142" s="2" t="s">
        <v>4753</v>
      </c>
      <c r="D1142" s="2" t="s">
        <v>4754</v>
      </c>
      <c r="E1142" s="3">
        <v>42032</v>
      </c>
      <c r="F1142" s="2" t="s">
        <v>4755</v>
      </c>
      <c r="G1142" s="2"/>
      <c r="H1142" s="2" t="s">
        <v>2425</v>
      </c>
      <c r="I1142" s="2" t="s">
        <v>2426</v>
      </c>
      <c r="J1142" s="3">
        <v>42092</v>
      </c>
      <c r="K1142" s="2" t="str">
        <f>HYPERLINK("https://docs.wto.org/imrd/directdoc.asp?DDFDocuments/t/G/SPS/NCHN829.DOC")</f>
        <v>https://docs.wto.org/imrd/directdoc.asp?DDFDocuments/t/G/SPS/NCHN829.DOC</v>
      </c>
      <c r="L1142" s="2" t="str">
        <f>HYPERLINK("https://docs.wto.org/imrd/directdoc.asp?DDFDocuments/u/G/SPS/NCHN829.DOC")</f>
        <v>https://docs.wto.org/imrd/directdoc.asp?DDFDocuments/u/G/SPS/NCHN829.DOC</v>
      </c>
      <c r="M1142" s="2" t="str">
        <f>HYPERLINK("https://docs.wto.org/imrd/directdoc.asp?DDFDocuments/v/G/SPS/NCHN829.DOC")</f>
        <v>https://docs.wto.org/imrd/directdoc.asp?DDFDocuments/v/G/SPS/NCHN829.DOC</v>
      </c>
      <c r="N1142" s="2" t="str">
        <f>HYPERLINK("http://www.epingalert.org/#/details/G/SPS/N/CHN/829")</f>
        <v>http://www.epingalert.org/#/details/G/SPS/N/CHN/829</v>
      </c>
      <c r="O1142" s="2"/>
    </row>
    <row r="1143" spans="1:15" ht="240" customHeight="1" outlineLevel="1" x14ac:dyDescent="0.25">
      <c r="A1143" s="2" t="s">
        <v>380</v>
      </c>
      <c r="B1143" s="2" t="s">
        <v>4756</v>
      </c>
      <c r="C1143" s="2" t="s">
        <v>4757</v>
      </c>
      <c r="D1143" s="2" t="s">
        <v>4758</v>
      </c>
      <c r="E1143" s="3">
        <v>42032</v>
      </c>
      <c r="F1143" s="2" t="s">
        <v>4759</v>
      </c>
      <c r="G1143" s="2"/>
      <c r="H1143" s="2" t="s">
        <v>2425</v>
      </c>
      <c r="I1143" s="2" t="s">
        <v>2426</v>
      </c>
      <c r="J1143" s="3">
        <v>42092</v>
      </c>
      <c r="K1143" s="2" t="str">
        <f>HYPERLINK("https://docs.wto.org/imrd/directdoc.asp?DDFDocuments/t/G/SPS/NCHN828.DOC")</f>
        <v>https://docs.wto.org/imrd/directdoc.asp?DDFDocuments/t/G/SPS/NCHN828.DOC</v>
      </c>
      <c r="L1143" s="2" t="str">
        <f>HYPERLINK("https://docs.wto.org/imrd/directdoc.asp?DDFDocuments/u/G/SPS/NCHN828.DOC")</f>
        <v>https://docs.wto.org/imrd/directdoc.asp?DDFDocuments/u/G/SPS/NCHN828.DOC</v>
      </c>
      <c r="M1143" s="2" t="str">
        <f>HYPERLINK("https://docs.wto.org/imrd/directdoc.asp?DDFDocuments/v/G/SPS/NCHN828.DOC")</f>
        <v>https://docs.wto.org/imrd/directdoc.asp?DDFDocuments/v/G/SPS/NCHN828.DOC</v>
      </c>
      <c r="N1143" s="2" t="str">
        <f>HYPERLINK("http://www.epingalert.org/#/details/G/SPS/N/CHN/828")</f>
        <v>http://www.epingalert.org/#/details/G/SPS/N/CHN/828</v>
      </c>
      <c r="O1143" s="2"/>
    </row>
    <row r="1144" spans="1:15" ht="240" customHeight="1" outlineLevel="1" x14ac:dyDescent="0.25">
      <c r="A1144" s="2" t="s">
        <v>380</v>
      </c>
      <c r="B1144" s="2" t="s">
        <v>4760</v>
      </c>
      <c r="C1144" s="2" t="s">
        <v>4761</v>
      </c>
      <c r="D1144" s="2" t="s">
        <v>4762</v>
      </c>
      <c r="E1144" s="3">
        <v>42032</v>
      </c>
      <c r="F1144" s="2" t="s">
        <v>4763</v>
      </c>
      <c r="G1144" s="2"/>
      <c r="H1144" s="2" t="s">
        <v>2425</v>
      </c>
      <c r="I1144" s="2" t="s">
        <v>2426</v>
      </c>
      <c r="J1144" s="3">
        <v>42092</v>
      </c>
      <c r="K1144" s="2" t="str">
        <f>HYPERLINK("https://docs.wto.org/imrd/directdoc.asp?DDFDocuments/t/G/SPS/NCHN827.DOC")</f>
        <v>https://docs.wto.org/imrd/directdoc.asp?DDFDocuments/t/G/SPS/NCHN827.DOC</v>
      </c>
      <c r="L1144" s="2" t="str">
        <f>HYPERLINK("https://docs.wto.org/imrd/directdoc.asp?DDFDocuments/u/G/SPS/NCHN827.DOC")</f>
        <v>https://docs.wto.org/imrd/directdoc.asp?DDFDocuments/u/G/SPS/NCHN827.DOC</v>
      </c>
      <c r="M1144" s="2" t="str">
        <f>HYPERLINK("https://docs.wto.org/imrd/directdoc.asp?DDFDocuments/v/G/SPS/NCHN827.DOC")</f>
        <v>https://docs.wto.org/imrd/directdoc.asp?DDFDocuments/v/G/SPS/NCHN827.DOC</v>
      </c>
      <c r="N1144" s="2" t="str">
        <f>HYPERLINK("http://www.epingalert.org/#/details/G/SPS/N/CHN/827")</f>
        <v>http://www.epingalert.org/#/details/G/SPS/N/CHN/827</v>
      </c>
      <c r="O1144" s="2"/>
    </row>
    <row r="1145" spans="1:15" ht="240" customHeight="1" outlineLevel="1" x14ac:dyDescent="0.25">
      <c r="A1145" s="2" t="s">
        <v>380</v>
      </c>
      <c r="B1145" s="2" t="s">
        <v>4764</v>
      </c>
      <c r="C1145" s="2" t="s">
        <v>4765</v>
      </c>
      <c r="D1145" s="2" t="s">
        <v>4766</v>
      </c>
      <c r="E1145" s="3">
        <v>42032</v>
      </c>
      <c r="F1145" s="2" t="s">
        <v>4767</v>
      </c>
      <c r="G1145" s="2"/>
      <c r="H1145" s="2" t="s">
        <v>2425</v>
      </c>
      <c r="I1145" s="2" t="s">
        <v>2426</v>
      </c>
      <c r="J1145" s="3">
        <v>42092</v>
      </c>
      <c r="K1145" s="2" t="str">
        <f>HYPERLINK("https://docs.wto.org/imrd/directdoc.asp?DDFDocuments/t/G/SPS/NCHN826.DOC")</f>
        <v>https://docs.wto.org/imrd/directdoc.asp?DDFDocuments/t/G/SPS/NCHN826.DOC</v>
      </c>
      <c r="L1145" s="2" t="str">
        <f>HYPERLINK("https://docs.wto.org/imrd/directdoc.asp?DDFDocuments/u/G/SPS/NCHN826.DOC")</f>
        <v>https://docs.wto.org/imrd/directdoc.asp?DDFDocuments/u/G/SPS/NCHN826.DOC</v>
      </c>
      <c r="M1145" s="2" t="str">
        <f>HYPERLINK("https://docs.wto.org/imrd/directdoc.asp?DDFDocuments/v/G/SPS/NCHN826.DOC")</f>
        <v>https://docs.wto.org/imrd/directdoc.asp?DDFDocuments/v/G/SPS/NCHN826.DOC</v>
      </c>
      <c r="N1145" s="2" t="str">
        <f>HYPERLINK("http://www.epingalert.org/#/details/G/SPS/N/CHN/826")</f>
        <v>http://www.epingalert.org/#/details/G/SPS/N/CHN/826</v>
      </c>
      <c r="O1145" s="2"/>
    </row>
    <row r="1146" spans="1:15" ht="240" customHeight="1" outlineLevel="1" x14ac:dyDescent="0.25">
      <c r="A1146" s="2" t="s">
        <v>380</v>
      </c>
      <c r="B1146" s="2" t="s">
        <v>4768</v>
      </c>
      <c r="C1146" s="2" t="s">
        <v>4769</v>
      </c>
      <c r="D1146" s="2" t="s">
        <v>4770</v>
      </c>
      <c r="E1146" s="3">
        <v>42032</v>
      </c>
      <c r="F1146" s="2" t="s">
        <v>4771</v>
      </c>
      <c r="G1146" s="2"/>
      <c r="H1146" s="2" t="s">
        <v>2425</v>
      </c>
      <c r="I1146" s="2" t="s">
        <v>2426</v>
      </c>
      <c r="J1146" s="3">
        <v>42092</v>
      </c>
      <c r="K1146" s="2" t="str">
        <f>HYPERLINK("https://docs.wto.org/imrd/directdoc.asp?DDFDocuments/t/G/SPS/NCHN825.DOC")</f>
        <v>https://docs.wto.org/imrd/directdoc.asp?DDFDocuments/t/G/SPS/NCHN825.DOC</v>
      </c>
      <c r="L1146" s="2" t="str">
        <f>HYPERLINK("https://docs.wto.org/imrd/directdoc.asp?DDFDocuments/u/G/SPS/NCHN825.DOC")</f>
        <v>https://docs.wto.org/imrd/directdoc.asp?DDFDocuments/u/G/SPS/NCHN825.DOC</v>
      </c>
      <c r="M1146" s="2" t="str">
        <f>HYPERLINK("https://docs.wto.org/imrd/directdoc.asp?DDFDocuments/v/G/SPS/NCHN825.DOC")</f>
        <v>https://docs.wto.org/imrd/directdoc.asp?DDFDocuments/v/G/SPS/NCHN825.DOC</v>
      </c>
      <c r="N1146" s="2" t="str">
        <f>HYPERLINK("http://www.epingalert.org/#/details/G/SPS/N/CHN/825")</f>
        <v>http://www.epingalert.org/#/details/G/SPS/N/CHN/825</v>
      </c>
      <c r="O1146" s="2"/>
    </row>
    <row r="1147" spans="1:15" ht="240" customHeight="1" outlineLevel="1" x14ac:dyDescent="0.25">
      <c r="A1147" s="2" t="s">
        <v>380</v>
      </c>
      <c r="B1147" s="2" t="s">
        <v>4772</v>
      </c>
      <c r="C1147" s="2" t="s">
        <v>4773</v>
      </c>
      <c r="D1147" s="2" t="s">
        <v>4774</v>
      </c>
      <c r="E1147" s="3">
        <v>42032</v>
      </c>
      <c r="F1147" s="2" t="s">
        <v>4775</v>
      </c>
      <c r="G1147" s="2"/>
      <c r="H1147" s="2" t="s">
        <v>2425</v>
      </c>
      <c r="I1147" s="2" t="s">
        <v>2426</v>
      </c>
      <c r="J1147" s="3">
        <v>42092</v>
      </c>
      <c r="K1147" s="2" t="str">
        <f>HYPERLINK("https://docs.wto.org/imrd/directdoc.asp?DDFDocuments/t/G/SPS/NCHN824.DOC")</f>
        <v>https://docs.wto.org/imrd/directdoc.asp?DDFDocuments/t/G/SPS/NCHN824.DOC</v>
      </c>
      <c r="L1147" s="2" t="str">
        <f>HYPERLINK("https://docs.wto.org/imrd/directdoc.asp?DDFDocuments/u/G/SPS/NCHN824.DOC")</f>
        <v>https://docs.wto.org/imrd/directdoc.asp?DDFDocuments/u/G/SPS/NCHN824.DOC</v>
      </c>
      <c r="M1147" s="2" t="str">
        <f>HYPERLINK("https://docs.wto.org/imrd/directdoc.asp?DDFDocuments/v/G/SPS/NCHN824.DOC")</f>
        <v>https://docs.wto.org/imrd/directdoc.asp?DDFDocuments/v/G/SPS/NCHN824.DOC</v>
      </c>
      <c r="N1147" s="2" t="str">
        <f>HYPERLINK("http://www.epingalert.org/#/details/G/SPS/N/CHN/824")</f>
        <v>http://www.epingalert.org/#/details/G/SPS/N/CHN/824</v>
      </c>
      <c r="O1147" s="2"/>
    </row>
    <row r="1148" spans="1:15" ht="240" customHeight="1" outlineLevel="1" x14ac:dyDescent="0.25">
      <c r="A1148" s="2" t="s">
        <v>380</v>
      </c>
      <c r="B1148" s="2" t="s">
        <v>4776</v>
      </c>
      <c r="C1148" s="2" t="s">
        <v>4777</v>
      </c>
      <c r="D1148" s="2" t="s">
        <v>4778</v>
      </c>
      <c r="E1148" s="3">
        <v>42032</v>
      </c>
      <c r="F1148" s="2" t="s">
        <v>4779</v>
      </c>
      <c r="G1148" s="2"/>
      <c r="H1148" s="2" t="s">
        <v>2425</v>
      </c>
      <c r="I1148" s="2" t="s">
        <v>2426</v>
      </c>
      <c r="J1148" s="3">
        <v>42092</v>
      </c>
      <c r="K1148" s="2" t="str">
        <f>HYPERLINK("https://docs.wto.org/imrd/directdoc.asp?DDFDocuments/t/G/SPS/NCHN823.DOC")</f>
        <v>https://docs.wto.org/imrd/directdoc.asp?DDFDocuments/t/G/SPS/NCHN823.DOC</v>
      </c>
      <c r="L1148" s="2" t="str">
        <f>HYPERLINK("https://docs.wto.org/imrd/directdoc.asp?DDFDocuments/u/G/SPS/NCHN823.DOC")</f>
        <v>https://docs.wto.org/imrd/directdoc.asp?DDFDocuments/u/G/SPS/NCHN823.DOC</v>
      </c>
      <c r="M1148" s="2" t="str">
        <f>HYPERLINK("https://docs.wto.org/imrd/directdoc.asp?DDFDocuments/v/G/SPS/NCHN823.DOC")</f>
        <v>https://docs.wto.org/imrd/directdoc.asp?DDFDocuments/v/G/SPS/NCHN823.DOC</v>
      </c>
      <c r="N1148" s="2" t="str">
        <f>HYPERLINK("http://www.epingalert.org/#/details/G/SPS/N/CHN/823")</f>
        <v>http://www.epingalert.org/#/details/G/SPS/N/CHN/823</v>
      </c>
      <c r="O1148" s="2"/>
    </row>
    <row r="1149" spans="1:15" ht="240" customHeight="1" outlineLevel="1" x14ac:dyDescent="0.25">
      <c r="A1149" s="2" t="s">
        <v>380</v>
      </c>
      <c r="B1149" s="2" t="s">
        <v>4782</v>
      </c>
      <c r="C1149" s="2" t="s">
        <v>4783</v>
      </c>
      <c r="D1149" s="2" t="s">
        <v>4784</v>
      </c>
      <c r="E1149" s="3">
        <v>42031</v>
      </c>
      <c r="F1149" s="2" t="s">
        <v>4785</v>
      </c>
      <c r="G1149" s="2"/>
      <c r="H1149" s="2" t="s">
        <v>2425</v>
      </c>
      <c r="I1149" s="2" t="s">
        <v>2426</v>
      </c>
      <c r="J1149" s="3">
        <v>42091</v>
      </c>
      <c r="K1149" s="2" t="str">
        <f>HYPERLINK("https://docs.wto.org/imrd/directdoc.asp?DDFDocuments/t/G/SPS/NCHN822.DOC")</f>
        <v>https://docs.wto.org/imrd/directdoc.asp?DDFDocuments/t/G/SPS/NCHN822.DOC</v>
      </c>
      <c r="L1149" s="2" t="str">
        <f>HYPERLINK("https://docs.wto.org/imrd/directdoc.asp?DDFDocuments/u/G/SPS/NCHN822.DOC")</f>
        <v>https://docs.wto.org/imrd/directdoc.asp?DDFDocuments/u/G/SPS/NCHN822.DOC</v>
      </c>
      <c r="M1149" s="2" t="str">
        <f>HYPERLINK("https://docs.wto.org/imrd/directdoc.asp?DDFDocuments/v/G/SPS/NCHN822.DOC")</f>
        <v>https://docs.wto.org/imrd/directdoc.asp?DDFDocuments/v/G/SPS/NCHN822.DOC</v>
      </c>
      <c r="N1149" s="2" t="str">
        <f>HYPERLINK("http://www.epingalert.org/#/details/G/SPS/N/CHN/822")</f>
        <v>http://www.epingalert.org/#/details/G/SPS/N/CHN/822</v>
      </c>
      <c r="O1149" s="2"/>
    </row>
    <row r="1150" spans="1:15" ht="240" customHeight="1" outlineLevel="1" x14ac:dyDescent="0.25">
      <c r="A1150" s="2" t="s">
        <v>380</v>
      </c>
      <c r="B1150" s="2" t="s">
        <v>4786</v>
      </c>
      <c r="C1150" s="2" t="s">
        <v>4787</v>
      </c>
      <c r="D1150" s="2" t="s">
        <v>4788</v>
      </c>
      <c r="E1150" s="3">
        <v>42031</v>
      </c>
      <c r="F1150" s="2" t="s">
        <v>4789</v>
      </c>
      <c r="G1150" s="2"/>
      <c r="H1150" s="2" t="s">
        <v>2425</v>
      </c>
      <c r="I1150" s="2" t="s">
        <v>2426</v>
      </c>
      <c r="J1150" s="3">
        <v>42091</v>
      </c>
      <c r="K1150" s="2" t="str">
        <f>HYPERLINK("https://docs.wto.org/imrd/directdoc.asp?DDFDocuments/t/G/SPS/NCHN821.DOC")</f>
        <v>https://docs.wto.org/imrd/directdoc.asp?DDFDocuments/t/G/SPS/NCHN821.DOC</v>
      </c>
      <c r="L1150" s="2" t="str">
        <f>HYPERLINK("https://docs.wto.org/imrd/directdoc.asp?DDFDocuments/u/G/SPS/NCHN821.DOC")</f>
        <v>https://docs.wto.org/imrd/directdoc.asp?DDFDocuments/u/G/SPS/NCHN821.DOC</v>
      </c>
      <c r="M1150" s="2" t="str">
        <f>HYPERLINK("https://docs.wto.org/imrd/directdoc.asp?DDFDocuments/v/G/SPS/NCHN821.DOC")</f>
        <v>https://docs.wto.org/imrd/directdoc.asp?DDFDocuments/v/G/SPS/NCHN821.DOC</v>
      </c>
      <c r="N1150" s="2" t="str">
        <f>HYPERLINK("http://www.epingalert.org/#/details/G/SPS/N/CHN/821")</f>
        <v>http://www.epingalert.org/#/details/G/SPS/N/CHN/821</v>
      </c>
      <c r="O1150" s="2"/>
    </row>
    <row r="1151" spans="1:15" ht="240" customHeight="1" outlineLevel="1" x14ac:dyDescent="0.25">
      <c r="A1151" s="2" t="s">
        <v>380</v>
      </c>
      <c r="B1151" s="2" t="s">
        <v>4790</v>
      </c>
      <c r="C1151" s="2" t="s">
        <v>4791</v>
      </c>
      <c r="D1151" s="2" t="s">
        <v>4792</v>
      </c>
      <c r="E1151" s="3">
        <v>42031</v>
      </c>
      <c r="F1151" s="2" t="s">
        <v>4793</v>
      </c>
      <c r="G1151" s="2"/>
      <c r="H1151" s="2" t="s">
        <v>2425</v>
      </c>
      <c r="I1151" s="2" t="s">
        <v>2426</v>
      </c>
      <c r="J1151" s="3">
        <v>42091</v>
      </c>
      <c r="K1151" s="2" t="str">
        <f>HYPERLINK("https://docs.wto.org/imrd/directdoc.asp?DDFDocuments/t/G/SPS/NCHN820.DOC")</f>
        <v>https://docs.wto.org/imrd/directdoc.asp?DDFDocuments/t/G/SPS/NCHN820.DOC</v>
      </c>
      <c r="L1151" s="2" t="str">
        <f>HYPERLINK("https://docs.wto.org/imrd/directdoc.asp?DDFDocuments/u/G/SPS/NCHN820.DOC")</f>
        <v>https://docs.wto.org/imrd/directdoc.asp?DDFDocuments/u/G/SPS/NCHN820.DOC</v>
      </c>
      <c r="M1151" s="2" t="str">
        <f>HYPERLINK("https://docs.wto.org/imrd/directdoc.asp?DDFDocuments/v/G/SPS/NCHN820.DOC")</f>
        <v>https://docs.wto.org/imrd/directdoc.asp?DDFDocuments/v/G/SPS/NCHN820.DOC</v>
      </c>
      <c r="N1151" s="2" t="str">
        <f>HYPERLINK("http://www.epingalert.org/#/details/G/SPS/N/CHN/820")</f>
        <v>http://www.epingalert.org/#/details/G/SPS/N/CHN/820</v>
      </c>
      <c r="O1151" s="2"/>
    </row>
    <row r="1152" spans="1:15" ht="240" customHeight="1" outlineLevel="1" x14ac:dyDescent="0.25">
      <c r="A1152" s="2" t="s">
        <v>380</v>
      </c>
      <c r="B1152" s="2" t="s">
        <v>4794</v>
      </c>
      <c r="C1152" s="2" t="s">
        <v>4795</v>
      </c>
      <c r="D1152" s="2" t="s">
        <v>4796</v>
      </c>
      <c r="E1152" s="3">
        <v>42031</v>
      </c>
      <c r="F1152" s="2" t="s">
        <v>4797</v>
      </c>
      <c r="G1152" s="2"/>
      <c r="H1152" s="2" t="s">
        <v>2425</v>
      </c>
      <c r="I1152" s="2" t="s">
        <v>2426</v>
      </c>
      <c r="J1152" s="3">
        <v>42091</v>
      </c>
      <c r="K1152" s="2" t="str">
        <f>HYPERLINK("https://docs.wto.org/imrd/directdoc.asp?DDFDocuments/t/G/SPS/NCHN819.DOC")</f>
        <v>https://docs.wto.org/imrd/directdoc.asp?DDFDocuments/t/G/SPS/NCHN819.DOC</v>
      </c>
      <c r="L1152" s="2" t="str">
        <f>HYPERLINK("https://docs.wto.org/imrd/directdoc.asp?DDFDocuments/u/G/SPS/NCHN819.DOC")</f>
        <v>https://docs.wto.org/imrd/directdoc.asp?DDFDocuments/u/G/SPS/NCHN819.DOC</v>
      </c>
      <c r="M1152" s="2" t="str">
        <f>HYPERLINK("https://docs.wto.org/imrd/directdoc.asp?DDFDocuments/v/G/SPS/NCHN819.DOC")</f>
        <v>https://docs.wto.org/imrd/directdoc.asp?DDFDocuments/v/G/SPS/NCHN819.DOC</v>
      </c>
      <c r="N1152" s="2" t="str">
        <f>HYPERLINK("http://www.epingalert.org/#/details/G/SPS/N/CHN/819")</f>
        <v>http://www.epingalert.org/#/details/G/SPS/N/CHN/819</v>
      </c>
      <c r="O1152" s="2"/>
    </row>
    <row r="1153" spans="1:15" ht="240" customHeight="1" outlineLevel="1" x14ac:dyDescent="0.25">
      <c r="A1153" s="2" t="s">
        <v>380</v>
      </c>
      <c r="B1153" s="2" t="s">
        <v>4798</v>
      </c>
      <c r="C1153" s="2" t="s">
        <v>4799</v>
      </c>
      <c r="D1153" s="2" t="s">
        <v>4800</v>
      </c>
      <c r="E1153" s="3">
        <v>42031</v>
      </c>
      <c r="F1153" s="2" t="s">
        <v>4801</v>
      </c>
      <c r="G1153" s="2"/>
      <c r="H1153" s="2" t="s">
        <v>2425</v>
      </c>
      <c r="I1153" s="2" t="s">
        <v>2426</v>
      </c>
      <c r="J1153" s="3">
        <v>42091</v>
      </c>
      <c r="K1153" s="2" t="str">
        <f>HYPERLINK("https://docs.wto.org/imrd/directdoc.asp?DDFDocuments/t/G/SPS/NCHN818.DOC")</f>
        <v>https://docs.wto.org/imrd/directdoc.asp?DDFDocuments/t/G/SPS/NCHN818.DOC</v>
      </c>
      <c r="L1153" s="2" t="str">
        <f>HYPERLINK("https://docs.wto.org/imrd/directdoc.asp?DDFDocuments/u/G/SPS/NCHN818.DOC")</f>
        <v>https://docs.wto.org/imrd/directdoc.asp?DDFDocuments/u/G/SPS/NCHN818.DOC</v>
      </c>
      <c r="M1153" s="2" t="str">
        <f>HYPERLINK("https://docs.wto.org/imrd/directdoc.asp?DDFDocuments/v/G/SPS/NCHN818.DOC")</f>
        <v>https://docs.wto.org/imrd/directdoc.asp?DDFDocuments/v/G/SPS/NCHN818.DOC</v>
      </c>
      <c r="N1153" s="2" t="str">
        <f>HYPERLINK("http://www.epingalert.org/#/details/G/SPS/N/CHN/818")</f>
        <v>http://www.epingalert.org/#/details/G/SPS/N/CHN/818</v>
      </c>
      <c r="O1153" s="2"/>
    </row>
    <row r="1154" spans="1:15" ht="240" customHeight="1" outlineLevel="1" x14ac:dyDescent="0.25">
      <c r="A1154" s="2" t="s">
        <v>380</v>
      </c>
      <c r="B1154" s="2" t="s">
        <v>4802</v>
      </c>
      <c r="C1154" s="2" t="s">
        <v>4803</v>
      </c>
      <c r="D1154" s="2" t="s">
        <v>4804</v>
      </c>
      <c r="E1154" s="3">
        <v>42031</v>
      </c>
      <c r="F1154" s="2" t="s">
        <v>4805</v>
      </c>
      <c r="G1154" s="2"/>
      <c r="H1154" s="2" t="s">
        <v>2425</v>
      </c>
      <c r="I1154" s="2" t="s">
        <v>2426</v>
      </c>
      <c r="J1154" s="3">
        <v>42091</v>
      </c>
      <c r="K1154" s="2" t="str">
        <f>HYPERLINK("https://docs.wto.org/imrd/directdoc.asp?DDFDocuments/t/G/SPS/NCHN817.DOC")</f>
        <v>https://docs.wto.org/imrd/directdoc.asp?DDFDocuments/t/G/SPS/NCHN817.DOC</v>
      </c>
      <c r="L1154" s="2" t="str">
        <f>HYPERLINK("https://docs.wto.org/imrd/directdoc.asp?DDFDocuments/u/G/SPS/NCHN817.DOC")</f>
        <v>https://docs.wto.org/imrd/directdoc.asp?DDFDocuments/u/G/SPS/NCHN817.DOC</v>
      </c>
      <c r="M1154" s="2" t="str">
        <f>HYPERLINK("https://docs.wto.org/imrd/directdoc.asp?DDFDocuments/v/G/SPS/NCHN817.DOC")</f>
        <v>https://docs.wto.org/imrd/directdoc.asp?DDFDocuments/v/G/SPS/NCHN817.DOC</v>
      </c>
      <c r="N1154" s="2" t="str">
        <f>HYPERLINK("http://www.epingalert.org/#/details/G/SPS/N/CHN/817")</f>
        <v>http://www.epingalert.org/#/details/G/SPS/N/CHN/817</v>
      </c>
      <c r="O1154" s="2"/>
    </row>
    <row r="1155" spans="1:15" ht="240" customHeight="1" outlineLevel="1" x14ac:dyDescent="0.25">
      <c r="A1155" s="2" t="s">
        <v>380</v>
      </c>
      <c r="B1155" s="2" t="s">
        <v>4806</v>
      </c>
      <c r="C1155" s="2" t="s">
        <v>4807</v>
      </c>
      <c r="D1155" s="2" t="s">
        <v>4808</v>
      </c>
      <c r="E1155" s="3">
        <v>42031</v>
      </c>
      <c r="F1155" s="2" t="s">
        <v>4809</v>
      </c>
      <c r="G1155" s="2"/>
      <c r="H1155" s="2" t="s">
        <v>2425</v>
      </c>
      <c r="I1155" s="2" t="s">
        <v>2426</v>
      </c>
      <c r="J1155" s="3">
        <v>42091</v>
      </c>
      <c r="K1155" s="2" t="str">
        <f>HYPERLINK("https://docs.wto.org/imrd/directdoc.asp?DDFDocuments/t/G/SPS/NCHN816.DOC")</f>
        <v>https://docs.wto.org/imrd/directdoc.asp?DDFDocuments/t/G/SPS/NCHN816.DOC</v>
      </c>
      <c r="L1155" s="2" t="str">
        <f>HYPERLINK("https://docs.wto.org/imrd/directdoc.asp?DDFDocuments/u/G/SPS/NCHN816.DOC")</f>
        <v>https://docs.wto.org/imrd/directdoc.asp?DDFDocuments/u/G/SPS/NCHN816.DOC</v>
      </c>
      <c r="M1155" s="2" t="str">
        <f>HYPERLINK("https://docs.wto.org/imrd/directdoc.asp?DDFDocuments/v/G/SPS/NCHN816.DOC")</f>
        <v>https://docs.wto.org/imrd/directdoc.asp?DDFDocuments/v/G/SPS/NCHN816.DOC</v>
      </c>
      <c r="N1155" s="2" t="str">
        <f>HYPERLINK("http://www.epingalert.org/#/details/G/SPS/N/CHN/816")</f>
        <v>http://www.epingalert.org/#/details/G/SPS/N/CHN/816</v>
      </c>
      <c r="O1155" s="2"/>
    </row>
    <row r="1156" spans="1:15" ht="240" customHeight="1" outlineLevel="1" x14ac:dyDescent="0.25">
      <c r="A1156" s="2" t="s">
        <v>380</v>
      </c>
      <c r="B1156" s="2" t="s">
        <v>4810</v>
      </c>
      <c r="C1156" s="2" t="s">
        <v>4811</v>
      </c>
      <c r="D1156" s="2" t="s">
        <v>4812</v>
      </c>
      <c r="E1156" s="3">
        <v>42031</v>
      </c>
      <c r="F1156" s="2" t="s">
        <v>4813</v>
      </c>
      <c r="G1156" s="2"/>
      <c r="H1156" s="2" t="s">
        <v>2425</v>
      </c>
      <c r="I1156" s="2" t="s">
        <v>2426</v>
      </c>
      <c r="J1156" s="3">
        <v>42091</v>
      </c>
      <c r="K1156" s="2" t="str">
        <f>HYPERLINK("https://docs.wto.org/imrd/directdoc.asp?DDFDocuments/t/G/SPS/NCHN815.DOC")</f>
        <v>https://docs.wto.org/imrd/directdoc.asp?DDFDocuments/t/G/SPS/NCHN815.DOC</v>
      </c>
      <c r="L1156" s="2" t="str">
        <f>HYPERLINK("https://docs.wto.org/imrd/directdoc.asp?DDFDocuments/u/G/SPS/NCHN815.DOC")</f>
        <v>https://docs.wto.org/imrd/directdoc.asp?DDFDocuments/u/G/SPS/NCHN815.DOC</v>
      </c>
      <c r="M1156" s="2" t="str">
        <f>HYPERLINK("https://docs.wto.org/imrd/directdoc.asp?DDFDocuments/v/G/SPS/NCHN815.DOC")</f>
        <v>https://docs.wto.org/imrd/directdoc.asp?DDFDocuments/v/G/SPS/NCHN815.DOC</v>
      </c>
      <c r="N1156" s="2" t="str">
        <f>HYPERLINK("http://www.epingalert.org/#/details/G/SPS/N/CHN/815")</f>
        <v>http://www.epingalert.org/#/details/G/SPS/N/CHN/815</v>
      </c>
      <c r="O1156" s="2"/>
    </row>
    <row r="1157" spans="1:15" ht="240" customHeight="1" outlineLevel="1" x14ac:dyDescent="0.25">
      <c r="A1157" s="2" t="s">
        <v>380</v>
      </c>
      <c r="B1157" s="2" t="s">
        <v>4814</v>
      </c>
      <c r="C1157" s="2" t="s">
        <v>4815</v>
      </c>
      <c r="D1157" s="2" t="s">
        <v>4816</v>
      </c>
      <c r="E1157" s="3">
        <v>42031</v>
      </c>
      <c r="F1157" s="2" t="s">
        <v>4817</v>
      </c>
      <c r="G1157" s="2"/>
      <c r="H1157" s="2" t="s">
        <v>2425</v>
      </c>
      <c r="I1157" s="2" t="s">
        <v>2426</v>
      </c>
      <c r="J1157" s="3">
        <v>42091</v>
      </c>
      <c r="K1157" s="2" t="str">
        <f>HYPERLINK("https://docs.wto.org/imrd/directdoc.asp?DDFDocuments/t/G/SPS/NCHN814.DOC")</f>
        <v>https://docs.wto.org/imrd/directdoc.asp?DDFDocuments/t/G/SPS/NCHN814.DOC</v>
      </c>
      <c r="L1157" s="2" t="str">
        <f>HYPERLINK("https://docs.wto.org/imrd/directdoc.asp?DDFDocuments/u/G/SPS/NCHN814.DOC")</f>
        <v>https://docs.wto.org/imrd/directdoc.asp?DDFDocuments/u/G/SPS/NCHN814.DOC</v>
      </c>
      <c r="M1157" s="2" t="str">
        <f>HYPERLINK("https://docs.wto.org/imrd/directdoc.asp?DDFDocuments/v/G/SPS/NCHN814.DOC")</f>
        <v>https://docs.wto.org/imrd/directdoc.asp?DDFDocuments/v/G/SPS/NCHN814.DOC</v>
      </c>
      <c r="N1157" s="2" t="str">
        <f>HYPERLINK("http://www.epingalert.org/#/details/G/SPS/N/CHN/814")</f>
        <v>http://www.epingalert.org/#/details/G/SPS/N/CHN/814</v>
      </c>
      <c r="O1157" s="2"/>
    </row>
    <row r="1158" spans="1:15" ht="240" customHeight="1" outlineLevel="1" x14ac:dyDescent="0.25">
      <c r="A1158" s="2" t="s">
        <v>380</v>
      </c>
      <c r="B1158" s="2" t="s">
        <v>4818</v>
      </c>
      <c r="C1158" s="2" t="s">
        <v>4819</v>
      </c>
      <c r="D1158" s="2" t="s">
        <v>4820</v>
      </c>
      <c r="E1158" s="3">
        <v>42031</v>
      </c>
      <c r="F1158" s="2" t="s">
        <v>4821</v>
      </c>
      <c r="G1158" s="2"/>
      <c r="H1158" s="2" t="s">
        <v>2425</v>
      </c>
      <c r="I1158" s="2" t="s">
        <v>2426</v>
      </c>
      <c r="J1158" s="3">
        <v>42091</v>
      </c>
      <c r="K1158" s="2" t="str">
        <f>HYPERLINK("https://docs.wto.org/imrd/directdoc.asp?DDFDocuments/t/G/SPS/NCHN813.DOC")</f>
        <v>https://docs.wto.org/imrd/directdoc.asp?DDFDocuments/t/G/SPS/NCHN813.DOC</v>
      </c>
      <c r="L1158" s="2" t="str">
        <f>HYPERLINK("https://docs.wto.org/imrd/directdoc.asp?DDFDocuments/u/G/SPS/NCHN813.DOC")</f>
        <v>https://docs.wto.org/imrd/directdoc.asp?DDFDocuments/u/G/SPS/NCHN813.DOC</v>
      </c>
      <c r="M1158" s="2" t="str">
        <f>HYPERLINK("https://docs.wto.org/imrd/directdoc.asp?DDFDocuments/v/G/SPS/NCHN813.DOC")</f>
        <v>https://docs.wto.org/imrd/directdoc.asp?DDFDocuments/v/G/SPS/NCHN813.DOC</v>
      </c>
      <c r="N1158" s="2" t="str">
        <f>HYPERLINK("http://www.epingalert.org/#/details/G/SPS/N/CHN/813")</f>
        <v>http://www.epingalert.org/#/details/G/SPS/N/CHN/813</v>
      </c>
      <c r="O1158" s="2"/>
    </row>
    <row r="1159" spans="1:15" ht="240" customHeight="1" outlineLevel="1" x14ac:dyDescent="0.25">
      <c r="A1159" s="2" t="s">
        <v>380</v>
      </c>
      <c r="B1159" s="2" t="s">
        <v>4822</v>
      </c>
      <c r="C1159" s="2" t="s">
        <v>4823</v>
      </c>
      <c r="D1159" s="2" t="s">
        <v>4824</v>
      </c>
      <c r="E1159" s="3">
        <v>42031</v>
      </c>
      <c r="F1159" s="2" t="s">
        <v>4825</v>
      </c>
      <c r="G1159" s="2"/>
      <c r="H1159" s="2" t="s">
        <v>2425</v>
      </c>
      <c r="I1159" s="2" t="s">
        <v>2426</v>
      </c>
      <c r="J1159" s="3">
        <v>42091</v>
      </c>
      <c r="K1159" s="2" t="str">
        <f>HYPERLINK("https://docs.wto.org/imrd/directdoc.asp?DDFDocuments/t/G/SPS/NCHN812.DOC")</f>
        <v>https://docs.wto.org/imrd/directdoc.asp?DDFDocuments/t/G/SPS/NCHN812.DOC</v>
      </c>
      <c r="L1159" s="2" t="str">
        <f>HYPERLINK("https://docs.wto.org/imrd/directdoc.asp?DDFDocuments/u/G/SPS/NCHN812.DOC")</f>
        <v>https://docs.wto.org/imrd/directdoc.asp?DDFDocuments/u/G/SPS/NCHN812.DOC</v>
      </c>
      <c r="M1159" s="2" t="str">
        <f>HYPERLINK("https://docs.wto.org/imrd/directdoc.asp?DDFDocuments/v/G/SPS/NCHN812.DOC")</f>
        <v>https://docs.wto.org/imrd/directdoc.asp?DDFDocuments/v/G/SPS/NCHN812.DOC</v>
      </c>
      <c r="N1159" s="2" t="str">
        <f>HYPERLINK("http://www.epingalert.org/#/details/G/SPS/N/CHN/812")</f>
        <v>http://www.epingalert.org/#/details/G/SPS/N/CHN/812</v>
      </c>
      <c r="O1159" s="2"/>
    </row>
    <row r="1160" spans="1:15" ht="240" customHeight="1" outlineLevel="1" x14ac:dyDescent="0.25">
      <c r="A1160" s="2" t="s">
        <v>380</v>
      </c>
      <c r="B1160" s="2" t="s">
        <v>4826</v>
      </c>
      <c r="C1160" s="2" t="s">
        <v>4827</v>
      </c>
      <c r="D1160" s="2" t="s">
        <v>4828</v>
      </c>
      <c r="E1160" s="3">
        <v>42031</v>
      </c>
      <c r="F1160" s="2" t="s">
        <v>4829</v>
      </c>
      <c r="G1160" s="2"/>
      <c r="H1160" s="2" t="s">
        <v>2425</v>
      </c>
      <c r="I1160" s="2" t="s">
        <v>2426</v>
      </c>
      <c r="J1160" s="3">
        <v>42091</v>
      </c>
      <c r="K1160" s="2" t="str">
        <f>HYPERLINK("https://docs.wto.org/imrd/directdoc.asp?DDFDocuments/t/G/SPS/NCHN811.DOC")</f>
        <v>https://docs.wto.org/imrd/directdoc.asp?DDFDocuments/t/G/SPS/NCHN811.DOC</v>
      </c>
      <c r="L1160" s="2" t="str">
        <f>HYPERLINK("https://docs.wto.org/imrd/directdoc.asp?DDFDocuments/u/G/SPS/NCHN811.DOC")</f>
        <v>https://docs.wto.org/imrd/directdoc.asp?DDFDocuments/u/G/SPS/NCHN811.DOC</v>
      </c>
      <c r="M1160" s="2" t="str">
        <f>HYPERLINK("https://docs.wto.org/imrd/directdoc.asp?DDFDocuments/v/G/SPS/NCHN811.DOC")</f>
        <v>https://docs.wto.org/imrd/directdoc.asp?DDFDocuments/v/G/SPS/NCHN811.DOC</v>
      </c>
      <c r="N1160" s="2" t="str">
        <f>HYPERLINK("http://www.epingalert.org/#/details/G/SPS/N/CHN/811")</f>
        <v>http://www.epingalert.org/#/details/G/SPS/N/CHN/811</v>
      </c>
      <c r="O1160" s="2"/>
    </row>
    <row r="1161" spans="1:15" ht="240" customHeight="1" outlineLevel="1" x14ac:dyDescent="0.25">
      <c r="A1161" s="2" t="s">
        <v>380</v>
      </c>
      <c r="B1161" s="2" t="s">
        <v>4830</v>
      </c>
      <c r="C1161" s="2" t="s">
        <v>4831</v>
      </c>
      <c r="D1161" s="2" t="s">
        <v>4832</v>
      </c>
      <c r="E1161" s="3">
        <v>42031</v>
      </c>
      <c r="F1161" s="2" t="s">
        <v>4833</v>
      </c>
      <c r="G1161" s="2"/>
      <c r="H1161" s="2" t="s">
        <v>2425</v>
      </c>
      <c r="I1161" s="2" t="s">
        <v>2426</v>
      </c>
      <c r="J1161" s="3">
        <v>42091</v>
      </c>
      <c r="K1161" s="2" t="str">
        <f>HYPERLINK("https://docs.wto.org/imrd/directdoc.asp?DDFDocuments/t/G/SPS/NCHN810.DOC")</f>
        <v>https://docs.wto.org/imrd/directdoc.asp?DDFDocuments/t/G/SPS/NCHN810.DOC</v>
      </c>
      <c r="L1161" s="2" t="str">
        <f>HYPERLINK("https://docs.wto.org/imrd/directdoc.asp?DDFDocuments/u/G/SPS/NCHN810.DOC")</f>
        <v>https://docs.wto.org/imrd/directdoc.asp?DDFDocuments/u/G/SPS/NCHN810.DOC</v>
      </c>
      <c r="M1161" s="2" t="str">
        <f>HYPERLINK("https://docs.wto.org/imrd/directdoc.asp?DDFDocuments/v/G/SPS/NCHN810.DOC")</f>
        <v>https://docs.wto.org/imrd/directdoc.asp?DDFDocuments/v/G/SPS/NCHN810.DOC</v>
      </c>
      <c r="N1161" s="2" t="str">
        <f>HYPERLINK("http://www.epingalert.org/#/details/G/SPS/N/CHN/810")</f>
        <v>http://www.epingalert.org/#/details/G/SPS/N/CHN/810</v>
      </c>
      <c r="O1161" s="2"/>
    </row>
    <row r="1162" spans="1:15" ht="240" customHeight="1" outlineLevel="1" x14ac:dyDescent="0.25">
      <c r="A1162" s="2" t="s">
        <v>380</v>
      </c>
      <c r="B1162" s="2" t="s">
        <v>4834</v>
      </c>
      <c r="C1162" s="2" t="s">
        <v>4835</v>
      </c>
      <c r="D1162" s="2" t="s">
        <v>4836</v>
      </c>
      <c r="E1162" s="3">
        <v>42031</v>
      </c>
      <c r="F1162" s="2" t="s">
        <v>4837</v>
      </c>
      <c r="G1162" s="2"/>
      <c r="H1162" s="2" t="s">
        <v>2425</v>
      </c>
      <c r="I1162" s="2" t="s">
        <v>2426</v>
      </c>
      <c r="J1162" s="3">
        <v>42091</v>
      </c>
      <c r="K1162" s="2" t="str">
        <f>HYPERLINK("https://docs.wto.org/imrd/directdoc.asp?DDFDocuments/t/G/SPS/NCHN809.DOC")</f>
        <v>https://docs.wto.org/imrd/directdoc.asp?DDFDocuments/t/G/SPS/NCHN809.DOC</v>
      </c>
      <c r="L1162" s="2" t="str">
        <f>HYPERLINK("https://docs.wto.org/imrd/directdoc.asp?DDFDocuments/u/G/SPS/NCHN809.DOC")</f>
        <v>https://docs.wto.org/imrd/directdoc.asp?DDFDocuments/u/G/SPS/NCHN809.DOC</v>
      </c>
      <c r="M1162" s="2" t="str">
        <f>HYPERLINK("https://docs.wto.org/imrd/directdoc.asp?DDFDocuments/v/G/SPS/NCHN809.DOC")</f>
        <v>https://docs.wto.org/imrd/directdoc.asp?DDFDocuments/v/G/SPS/NCHN809.DOC</v>
      </c>
      <c r="N1162" s="2" t="str">
        <f>HYPERLINK("http://www.epingalert.org/#/details/G/SPS/N/CHN/809")</f>
        <v>http://www.epingalert.org/#/details/G/SPS/N/CHN/809</v>
      </c>
      <c r="O1162" s="2"/>
    </row>
    <row r="1163" spans="1:15" ht="240" customHeight="1" outlineLevel="1" x14ac:dyDescent="0.25">
      <c r="A1163" s="2" t="s">
        <v>380</v>
      </c>
      <c r="B1163" s="2" t="s">
        <v>4838</v>
      </c>
      <c r="C1163" s="2" t="s">
        <v>4839</v>
      </c>
      <c r="D1163" s="2" t="s">
        <v>4840</v>
      </c>
      <c r="E1163" s="3">
        <v>42031</v>
      </c>
      <c r="F1163" s="2" t="s">
        <v>4841</v>
      </c>
      <c r="G1163" s="2"/>
      <c r="H1163" s="2" t="s">
        <v>2425</v>
      </c>
      <c r="I1163" s="2" t="s">
        <v>2426</v>
      </c>
      <c r="J1163" s="3">
        <v>42091</v>
      </c>
      <c r="K1163" s="2" t="str">
        <f>HYPERLINK("https://docs.wto.org/imrd/directdoc.asp?DDFDocuments/t/G/SPS/NCHN808.DOC")</f>
        <v>https://docs.wto.org/imrd/directdoc.asp?DDFDocuments/t/G/SPS/NCHN808.DOC</v>
      </c>
      <c r="L1163" s="2" t="str">
        <f>HYPERLINK("https://docs.wto.org/imrd/directdoc.asp?DDFDocuments/u/G/SPS/NCHN808.DOC")</f>
        <v>https://docs.wto.org/imrd/directdoc.asp?DDFDocuments/u/G/SPS/NCHN808.DOC</v>
      </c>
      <c r="M1163" s="2" t="str">
        <f>HYPERLINK("https://docs.wto.org/imrd/directdoc.asp?DDFDocuments/v/G/SPS/NCHN808.DOC")</f>
        <v>https://docs.wto.org/imrd/directdoc.asp?DDFDocuments/v/G/SPS/NCHN808.DOC</v>
      </c>
      <c r="N1163" s="2" t="str">
        <f>HYPERLINK("http://www.epingalert.org/#/details/G/SPS/N/CHN/808")</f>
        <v>http://www.epingalert.org/#/details/G/SPS/N/CHN/808</v>
      </c>
      <c r="O1163" s="2"/>
    </row>
    <row r="1164" spans="1:15" ht="240" customHeight="1" outlineLevel="1" x14ac:dyDescent="0.25">
      <c r="A1164" s="2" t="s">
        <v>380</v>
      </c>
      <c r="B1164" s="2" t="s">
        <v>4842</v>
      </c>
      <c r="C1164" s="2" t="s">
        <v>4843</v>
      </c>
      <c r="D1164" s="2" t="s">
        <v>4844</v>
      </c>
      <c r="E1164" s="3">
        <v>42031</v>
      </c>
      <c r="F1164" s="2" t="s">
        <v>4845</v>
      </c>
      <c r="G1164" s="2"/>
      <c r="H1164" s="2" t="s">
        <v>2425</v>
      </c>
      <c r="I1164" s="2" t="s">
        <v>2426</v>
      </c>
      <c r="J1164" s="3">
        <v>42091</v>
      </c>
      <c r="K1164" s="2" t="str">
        <f>HYPERLINK("https://docs.wto.org/imrd/directdoc.asp?DDFDocuments/t/G/SPS/NCHN807.DOC")</f>
        <v>https://docs.wto.org/imrd/directdoc.asp?DDFDocuments/t/G/SPS/NCHN807.DOC</v>
      </c>
      <c r="L1164" s="2" t="str">
        <f>HYPERLINK("https://docs.wto.org/imrd/directdoc.asp?DDFDocuments/u/G/SPS/NCHN807.DOC")</f>
        <v>https://docs.wto.org/imrd/directdoc.asp?DDFDocuments/u/G/SPS/NCHN807.DOC</v>
      </c>
      <c r="M1164" s="2" t="str">
        <f>HYPERLINK("https://docs.wto.org/imrd/directdoc.asp?DDFDocuments/v/G/SPS/NCHN807.DOC")</f>
        <v>https://docs.wto.org/imrd/directdoc.asp?DDFDocuments/v/G/SPS/NCHN807.DOC</v>
      </c>
      <c r="N1164" s="2" t="str">
        <f>HYPERLINK("http://www.epingalert.org/#/details/G/SPS/N/CHN/807")</f>
        <v>http://www.epingalert.org/#/details/G/SPS/N/CHN/807</v>
      </c>
      <c r="O1164" s="2"/>
    </row>
    <row r="1165" spans="1:15" ht="240" customHeight="1" outlineLevel="1" x14ac:dyDescent="0.25">
      <c r="A1165" s="2" t="s">
        <v>380</v>
      </c>
      <c r="B1165" s="2" t="s">
        <v>4846</v>
      </c>
      <c r="C1165" s="2" t="s">
        <v>4847</v>
      </c>
      <c r="D1165" s="2" t="s">
        <v>4848</v>
      </c>
      <c r="E1165" s="3">
        <v>42031</v>
      </c>
      <c r="F1165" s="2" t="s">
        <v>4849</v>
      </c>
      <c r="G1165" s="2"/>
      <c r="H1165" s="2" t="s">
        <v>2425</v>
      </c>
      <c r="I1165" s="2" t="s">
        <v>2426</v>
      </c>
      <c r="J1165" s="3">
        <v>42091</v>
      </c>
      <c r="K1165" s="2" t="str">
        <f>HYPERLINK("https://docs.wto.org/imrd/directdoc.asp?DDFDocuments/t/G/SPS/NCHN806.DOC")</f>
        <v>https://docs.wto.org/imrd/directdoc.asp?DDFDocuments/t/G/SPS/NCHN806.DOC</v>
      </c>
      <c r="L1165" s="2" t="str">
        <f>HYPERLINK("https://docs.wto.org/imrd/directdoc.asp?DDFDocuments/u/G/SPS/NCHN806.DOC")</f>
        <v>https://docs.wto.org/imrd/directdoc.asp?DDFDocuments/u/G/SPS/NCHN806.DOC</v>
      </c>
      <c r="M1165" s="2" t="str">
        <f>HYPERLINK("https://docs.wto.org/imrd/directdoc.asp?DDFDocuments/v/G/SPS/NCHN806.DOC")</f>
        <v>https://docs.wto.org/imrd/directdoc.asp?DDFDocuments/v/G/SPS/NCHN806.DOC</v>
      </c>
      <c r="N1165" s="2" t="str">
        <f>HYPERLINK("http://www.epingalert.org/#/details/G/SPS/N/CHN/806")</f>
        <v>http://www.epingalert.org/#/details/G/SPS/N/CHN/806</v>
      </c>
      <c r="O1165" s="2"/>
    </row>
    <row r="1166" spans="1:15" ht="240" customHeight="1" outlineLevel="1" x14ac:dyDescent="0.25">
      <c r="A1166" s="2" t="s">
        <v>380</v>
      </c>
      <c r="B1166" s="2" t="s">
        <v>4850</v>
      </c>
      <c r="C1166" s="2" t="s">
        <v>4851</v>
      </c>
      <c r="D1166" s="2" t="s">
        <v>4852</v>
      </c>
      <c r="E1166" s="3">
        <v>42031</v>
      </c>
      <c r="F1166" s="2" t="s">
        <v>4853</v>
      </c>
      <c r="G1166" s="2"/>
      <c r="H1166" s="2" t="s">
        <v>2425</v>
      </c>
      <c r="I1166" s="2" t="s">
        <v>2426</v>
      </c>
      <c r="J1166" s="3">
        <v>42091</v>
      </c>
      <c r="K1166" s="2" t="str">
        <f>HYPERLINK("https://docs.wto.org/imrd/directdoc.asp?DDFDocuments/t/G/SPS/NCHN805.DOC")</f>
        <v>https://docs.wto.org/imrd/directdoc.asp?DDFDocuments/t/G/SPS/NCHN805.DOC</v>
      </c>
      <c r="L1166" s="2" t="str">
        <f>HYPERLINK("https://docs.wto.org/imrd/directdoc.asp?DDFDocuments/u/G/SPS/NCHN805.DOC")</f>
        <v>https://docs.wto.org/imrd/directdoc.asp?DDFDocuments/u/G/SPS/NCHN805.DOC</v>
      </c>
      <c r="M1166" s="2" t="str">
        <f>HYPERLINK("https://docs.wto.org/imrd/directdoc.asp?DDFDocuments/v/G/SPS/NCHN805.DOC")</f>
        <v>https://docs.wto.org/imrd/directdoc.asp?DDFDocuments/v/G/SPS/NCHN805.DOC</v>
      </c>
      <c r="N1166" s="2" t="str">
        <f>HYPERLINK("http://www.epingalert.org/#/details/G/SPS/N/CHN/805")</f>
        <v>http://www.epingalert.org/#/details/G/SPS/N/CHN/805</v>
      </c>
      <c r="O1166" s="2"/>
    </row>
    <row r="1167" spans="1:15" ht="240" customHeight="1" outlineLevel="1" x14ac:dyDescent="0.25">
      <c r="A1167" s="2" t="s">
        <v>380</v>
      </c>
      <c r="B1167" s="2" t="s">
        <v>4854</v>
      </c>
      <c r="C1167" s="2" t="s">
        <v>4855</v>
      </c>
      <c r="D1167" s="2" t="s">
        <v>4856</v>
      </c>
      <c r="E1167" s="3">
        <v>42031</v>
      </c>
      <c r="F1167" s="2" t="s">
        <v>4857</v>
      </c>
      <c r="G1167" s="2"/>
      <c r="H1167" s="2" t="s">
        <v>2425</v>
      </c>
      <c r="I1167" s="2" t="s">
        <v>2426</v>
      </c>
      <c r="J1167" s="3">
        <v>42091</v>
      </c>
      <c r="K1167" s="2" t="str">
        <f>HYPERLINK("https://docs.wto.org/imrd/directdoc.asp?DDFDocuments/t/G/SPS/NCHN804.DOC")</f>
        <v>https://docs.wto.org/imrd/directdoc.asp?DDFDocuments/t/G/SPS/NCHN804.DOC</v>
      </c>
      <c r="L1167" s="2" t="str">
        <f>HYPERLINK("https://docs.wto.org/imrd/directdoc.asp?DDFDocuments/u/G/SPS/NCHN804.DOC")</f>
        <v>https://docs.wto.org/imrd/directdoc.asp?DDFDocuments/u/G/SPS/NCHN804.DOC</v>
      </c>
      <c r="M1167" s="2" t="str">
        <f>HYPERLINK("https://docs.wto.org/imrd/directdoc.asp?DDFDocuments/v/G/SPS/NCHN804.DOC")</f>
        <v>https://docs.wto.org/imrd/directdoc.asp?DDFDocuments/v/G/SPS/NCHN804.DOC</v>
      </c>
      <c r="N1167" s="2" t="str">
        <f>HYPERLINK("http://www.epingalert.org/#/details/G/SPS/N/CHN/804")</f>
        <v>http://www.epingalert.org/#/details/G/SPS/N/CHN/804</v>
      </c>
      <c r="O1167" s="2"/>
    </row>
    <row r="1168" spans="1:15" ht="240" customHeight="1" outlineLevel="1" x14ac:dyDescent="0.25">
      <c r="A1168" s="2" t="s">
        <v>178</v>
      </c>
      <c r="B1168" s="2" t="s">
        <v>4780</v>
      </c>
      <c r="C1168" s="2"/>
      <c r="D1168" s="2"/>
      <c r="E1168" s="3">
        <v>42031</v>
      </c>
      <c r="F1168" s="2" t="s">
        <v>4781</v>
      </c>
      <c r="G1168" s="2"/>
      <c r="H1168" s="2" t="s">
        <v>2573</v>
      </c>
      <c r="I1168" s="2" t="s">
        <v>2784</v>
      </c>
      <c r="J1168" s="2"/>
      <c r="K1168" s="2" t="str">
        <f>HYPERLINK("https://docs.wto.org/imrd/directdoc.asp?DDFDocuments/t/G/SPS/NQAT22A2.DOC")</f>
        <v>https://docs.wto.org/imrd/directdoc.asp?DDFDocuments/t/G/SPS/NQAT22A2.DOC</v>
      </c>
      <c r="L1168" s="2" t="str">
        <f>HYPERLINK("https://docs.wto.org/imrd/directdoc.asp?DDFDocuments/u/G/SPS/NQAT22A2.DOC")</f>
        <v>https://docs.wto.org/imrd/directdoc.asp?DDFDocuments/u/G/SPS/NQAT22A2.DOC</v>
      </c>
      <c r="M1168" s="2" t="str">
        <f>HYPERLINK("https://docs.wto.org/imrd/directdoc.asp?DDFDocuments/v/G/SPS/NQAT22A2.DOC")</f>
        <v>https://docs.wto.org/imrd/directdoc.asp?DDFDocuments/v/G/SPS/NQAT22A2.DOC</v>
      </c>
      <c r="N1168" s="2" t="str">
        <f>HYPERLINK("http://www.epingalert.org/#/details/G/SPS/N/QAT/22/Add.2")</f>
        <v>http://www.epingalert.org/#/details/G/SPS/N/QAT/22/Add.2</v>
      </c>
      <c r="O1168" s="2"/>
    </row>
    <row r="1169" spans="1:15" ht="240" customHeight="1" outlineLevel="1" x14ac:dyDescent="0.25">
      <c r="A1169" s="2" t="s">
        <v>380</v>
      </c>
      <c r="B1169" s="2" t="s">
        <v>4861</v>
      </c>
      <c r="C1169" s="2" t="s">
        <v>4862</v>
      </c>
      <c r="D1169" s="2" t="s">
        <v>4863</v>
      </c>
      <c r="E1169" s="3">
        <v>42030</v>
      </c>
      <c r="F1169" s="2" t="s">
        <v>4864</v>
      </c>
      <c r="G1169" s="2"/>
      <c r="H1169" s="2" t="s">
        <v>2425</v>
      </c>
      <c r="I1169" s="2" t="s">
        <v>2426</v>
      </c>
      <c r="J1169" s="3">
        <v>42090</v>
      </c>
      <c r="K1169" s="2" t="str">
        <f>HYPERLINK("https://docs.wto.org/imrd/directdoc.asp?DDFDocuments/t/G/SPS/NCHN803.DOC")</f>
        <v>https://docs.wto.org/imrd/directdoc.asp?DDFDocuments/t/G/SPS/NCHN803.DOC</v>
      </c>
      <c r="L1169" s="2" t="str">
        <f>HYPERLINK("https://docs.wto.org/imrd/directdoc.asp?DDFDocuments/u/G/SPS/NCHN803.DOC")</f>
        <v>https://docs.wto.org/imrd/directdoc.asp?DDFDocuments/u/G/SPS/NCHN803.DOC</v>
      </c>
      <c r="M1169" s="2" t="str">
        <f>HYPERLINK("https://docs.wto.org/imrd/directdoc.asp?DDFDocuments/v/G/SPS/NCHN803.DOC")</f>
        <v>https://docs.wto.org/imrd/directdoc.asp?DDFDocuments/v/G/SPS/NCHN803.DOC</v>
      </c>
      <c r="N1169" s="2" t="str">
        <f>HYPERLINK("http://www.epingalert.org/#/details/G/SPS/N/CHN/803")</f>
        <v>http://www.epingalert.org/#/details/G/SPS/N/CHN/803</v>
      </c>
      <c r="O1169" s="2"/>
    </row>
    <row r="1170" spans="1:15" ht="240" customHeight="1" outlineLevel="1" x14ac:dyDescent="0.25">
      <c r="A1170" s="2" t="s">
        <v>380</v>
      </c>
      <c r="B1170" s="2" t="s">
        <v>4865</v>
      </c>
      <c r="C1170" s="2" t="s">
        <v>4866</v>
      </c>
      <c r="D1170" s="2" t="s">
        <v>4867</v>
      </c>
      <c r="E1170" s="3">
        <v>42030</v>
      </c>
      <c r="F1170" s="2" t="s">
        <v>4868</v>
      </c>
      <c r="G1170" s="2"/>
      <c r="H1170" s="2" t="s">
        <v>2425</v>
      </c>
      <c r="I1170" s="2" t="s">
        <v>2426</v>
      </c>
      <c r="J1170" s="3">
        <v>42090</v>
      </c>
      <c r="K1170" s="2" t="str">
        <f>HYPERLINK("https://docs.wto.org/imrd/directdoc.asp?DDFDocuments/t/G/SPS/NCHN802.DOC")</f>
        <v>https://docs.wto.org/imrd/directdoc.asp?DDFDocuments/t/G/SPS/NCHN802.DOC</v>
      </c>
      <c r="L1170" s="2" t="str">
        <f>HYPERLINK("https://docs.wto.org/imrd/directdoc.asp?DDFDocuments/u/G/SPS/NCHN802.DOC")</f>
        <v>https://docs.wto.org/imrd/directdoc.asp?DDFDocuments/u/G/SPS/NCHN802.DOC</v>
      </c>
      <c r="M1170" s="2" t="str">
        <f>HYPERLINK("https://docs.wto.org/imrd/directdoc.asp?DDFDocuments/v/G/SPS/NCHN802.DOC")</f>
        <v>https://docs.wto.org/imrd/directdoc.asp?DDFDocuments/v/G/SPS/NCHN802.DOC</v>
      </c>
      <c r="N1170" s="2" t="str">
        <f>HYPERLINK("http://www.epingalert.org/#/details/G/SPS/N/CHN/802")</f>
        <v>http://www.epingalert.org/#/details/G/SPS/N/CHN/802</v>
      </c>
      <c r="O1170" s="2"/>
    </row>
    <row r="1171" spans="1:15" ht="240" customHeight="1" outlineLevel="1" x14ac:dyDescent="0.25">
      <c r="A1171" s="2" t="s">
        <v>380</v>
      </c>
      <c r="B1171" s="2" t="s">
        <v>4869</v>
      </c>
      <c r="C1171" s="2" t="s">
        <v>4870</v>
      </c>
      <c r="D1171" s="2" t="s">
        <v>4871</v>
      </c>
      <c r="E1171" s="3">
        <v>42030</v>
      </c>
      <c r="F1171" s="2" t="s">
        <v>4872</v>
      </c>
      <c r="G1171" s="2"/>
      <c r="H1171" s="2" t="s">
        <v>2425</v>
      </c>
      <c r="I1171" s="2" t="s">
        <v>2426</v>
      </c>
      <c r="J1171" s="3">
        <v>42090</v>
      </c>
      <c r="K1171" s="2" t="str">
        <f>HYPERLINK("https://docs.wto.org/imrd/directdoc.asp?DDFDocuments/t/G/SPS/NCHN801.DOC")</f>
        <v>https://docs.wto.org/imrd/directdoc.asp?DDFDocuments/t/G/SPS/NCHN801.DOC</v>
      </c>
      <c r="L1171" s="2" t="str">
        <f>HYPERLINK("https://docs.wto.org/imrd/directdoc.asp?DDFDocuments/u/G/SPS/NCHN801.DOC")</f>
        <v>https://docs.wto.org/imrd/directdoc.asp?DDFDocuments/u/G/SPS/NCHN801.DOC</v>
      </c>
      <c r="M1171" s="2" t="str">
        <f>HYPERLINK("https://docs.wto.org/imrd/directdoc.asp?DDFDocuments/v/G/SPS/NCHN801.DOC")</f>
        <v>https://docs.wto.org/imrd/directdoc.asp?DDFDocuments/v/G/SPS/NCHN801.DOC</v>
      </c>
      <c r="N1171" s="2" t="str">
        <f>HYPERLINK("http://www.epingalert.org/#/details/G/SPS/N/CHN/801")</f>
        <v>http://www.epingalert.org/#/details/G/SPS/N/CHN/801</v>
      </c>
      <c r="O1171" s="2"/>
    </row>
    <row r="1172" spans="1:15" ht="240" customHeight="1" outlineLevel="1" x14ac:dyDescent="0.25">
      <c r="A1172" s="2" t="s">
        <v>380</v>
      </c>
      <c r="B1172" s="2" t="s">
        <v>4873</v>
      </c>
      <c r="C1172" s="2" t="s">
        <v>4874</v>
      </c>
      <c r="D1172" s="2" t="s">
        <v>4875</v>
      </c>
      <c r="E1172" s="3">
        <v>42030</v>
      </c>
      <c r="F1172" s="2" t="s">
        <v>4876</v>
      </c>
      <c r="G1172" s="2"/>
      <c r="H1172" s="2" t="s">
        <v>2425</v>
      </c>
      <c r="I1172" s="2" t="s">
        <v>2426</v>
      </c>
      <c r="J1172" s="3">
        <v>42090</v>
      </c>
      <c r="K1172" s="2" t="str">
        <f>HYPERLINK("https://docs.wto.org/imrd/directdoc.asp?DDFDocuments/t/G/SPS/NCHN800.DOC")</f>
        <v>https://docs.wto.org/imrd/directdoc.asp?DDFDocuments/t/G/SPS/NCHN800.DOC</v>
      </c>
      <c r="L1172" s="2" t="str">
        <f>HYPERLINK("https://docs.wto.org/imrd/directdoc.asp?DDFDocuments/u/G/SPS/NCHN800.DOC")</f>
        <v>https://docs.wto.org/imrd/directdoc.asp?DDFDocuments/u/G/SPS/NCHN800.DOC</v>
      </c>
      <c r="M1172" s="2" t="str">
        <f>HYPERLINK("https://docs.wto.org/imrd/directdoc.asp?DDFDocuments/v/G/SPS/NCHN800.DOC")</f>
        <v>https://docs.wto.org/imrd/directdoc.asp?DDFDocuments/v/G/SPS/NCHN800.DOC</v>
      </c>
      <c r="N1172" s="2" t="str">
        <f>HYPERLINK("http://www.epingalert.org/#/details/G/SPS/N/CHN/800")</f>
        <v>http://www.epingalert.org/#/details/G/SPS/N/CHN/800</v>
      </c>
      <c r="O1172" s="2"/>
    </row>
    <row r="1173" spans="1:15" ht="240" customHeight="1" outlineLevel="1" x14ac:dyDescent="0.25">
      <c r="A1173" s="2" t="s">
        <v>380</v>
      </c>
      <c r="B1173" s="2" t="s">
        <v>4877</v>
      </c>
      <c r="C1173" s="2" t="s">
        <v>4878</v>
      </c>
      <c r="D1173" s="2" t="s">
        <v>4879</v>
      </c>
      <c r="E1173" s="3">
        <v>42030</v>
      </c>
      <c r="F1173" s="2" t="s">
        <v>4880</v>
      </c>
      <c r="G1173" s="2"/>
      <c r="H1173" s="2" t="s">
        <v>2425</v>
      </c>
      <c r="I1173" s="2" t="s">
        <v>2426</v>
      </c>
      <c r="J1173" s="3">
        <v>42090</v>
      </c>
      <c r="K1173" s="2" t="str">
        <f>HYPERLINK("https://docs.wto.org/imrd/directdoc.asp?DDFDocuments/t/G/SPS/NCHN799.DOC")</f>
        <v>https://docs.wto.org/imrd/directdoc.asp?DDFDocuments/t/G/SPS/NCHN799.DOC</v>
      </c>
      <c r="L1173" s="2" t="str">
        <f>HYPERLINK("https://docs.wto.org/imrd/directdoc.asp?DDFDocuments/u/G/SPS/NCHN799.DOC")</f>
        <v>https://docs.wto.org/imrd/directdoc.asp?DDFDocuments/u/G/SPS/NCHN799.DOC</v>
      </c>
      <c r="M1173" s="2" t="str">
        <f>HYPERLINK("https://docs.wto.org/imrd/directdoc.asp?DDFDocuments/v/G/SPS/NCHN799.DOC")</f>
        <v>https://docs.wto.org/imrd/directdoc.asp?DDFDocuments/v/G/SPS/NCHN799.DOC</v>
      </c>
      <c r="N1173" s="2" t="str">
        <f>HYPERLINK("http://www.epingalert.org/#/details/G/SPS/N/CHN/799")</f>
        <v>http://www.epingalert.org/#/details/G/SPS/N/CHN/799</v>
      </c>
      <c r="O1173" s="2"/>
    </row>
    <row r="1174" spans="1:15" ht="240" customHeight="1" outlineLevel="1" x14ac:dyDescent="0.25">
      <c r="A1174" s="2" t="s">
        <v>380</v>
      </c>
      <c r="B1174" s="2" t="s">
        <v>4881</v>
      </c>
      <c r="C1174" s="2" t="s">
        <v>4882</v>
      </c>
      <c r="D1174" s="2" t="s">
        <v>4883</v>
      </c>
      <c r="E1174" s="3">
        <v>42030</v>
      </c>
      <c r="F1174" s="2" t="s">
        <v>4884</v>
      </c>
      <c r="G1174" s="2"/>
      <c r="H1174" s="2" t="s">
        <v>2425</v>
      </c>
      <c r="I1174" s="2" t="s">
        <v>2426</v>
      </c>
      <c r="J1174" s="3">
        <v>42090</v>
      </c>
      <c r="K1174" s="2" t="str">
        <f>HYPERLINK("https://docs.wto.org/imrd/directdoc.asp?DDFDocuments/t/G/SPS/NCHN798.DOC")</f>
        <v>https://docs.wto.org/imrd/directdoc.asp?DDFDocuments/t/G/SPS/NCHN798.DOC</v>
      </c>
      <c r="L1174" s="2" t="str">
        <f>HYPERLINK("https://docs.wto.org/imrd/directdoc.asp?DDFDocuments/u/G/SPS/NCHN798.DOC")</f>
        <v>https://docs.wto.org/imrd/directdoc.asp?DDFDocuments/u/G/SPS/NCHN798.DOC</v>
      </c>
      <c r="M1174" s="2" t="str">
        <f>HYPERLINK("https://docs.wto.org/imrd/directdoc.asp?DDFDocuments/v/G/SPS/NCHN798.DOC")</f>
        <v>https://docs.wto.org/imrd/directdoc.asp?DDFDocuments/v/G/SPS/NCHN798.DOC</v>
      </c>
      <c r="N1174" s="2" t="str">
        <f>HYPERLINK("http://www.epingalert.org/#/details/G/SPS/N/CHN/798")</f>
        <v>http://www.epingalert.org/#/details/G/SPS/N/CHN/798</v>
      </c>
      <c r="O1174" s="2"/>
    </row>
    <row r="1175" spans="1:15" ht="240" customHeight="1" outlineLevel="1" x14ac:dyDescent="0.25">
      <c r="A1175" s="2" t="s">
        <v>380</v>
      </c>
      <c r="B1175" s="2" t="s">
        <v>4885</v>
      </c>
      <c r="C1175" s="2" t="s">
        <v>4886</v>
      </c>
      <c r="D1175" s="2" t="s">
        <v>4887</v>
      </c>
      <c r="E1175" s="3">
        <v>42030</v>
      </c>
      <c r="F1175" s="2" t="s">
        <v>4888</v>
      </c>
      <c r="G1175" s="2"/>
      <c r="H1175" s="2" t="s">
        <v>2425</v>
      </c>
      <c r="I1175" s="2" t="s">
        <v>2426</v>
      </c>
      <c r="J1175" s="3">
        <v>42090</v>
      </c>
      <c r="K1175" s="2" t="str">
        <f>HYPERLINK("https://docs.wto.org/imrd/directdoc.asp?DDFDocuments/t/G/SPS/NCHN797.DOC")</f>
        <v>https://docs.wto.org/imrd/directdoc.asp?DDFDocuments/t/G/SPS/NCHN797.DOC</v>
      </c>
      <c r="L1175" s="2" t="str">
        <f>HYPERLINK("https://docs.wto.org/imrd/directdoc.asp?DDFDocuments/u/G/SPS/NCHN797.DOC")</f>
        <v>https://docs.wto.org/imrd/directdoc.asp?DDFDocuments/u/G/SPS/NCHN797.DOC</v>
      </c>
      <c r="M1175" s="2" t="str">
        <f>HYPERLINK("https://docs.wto.org/imrd/directdoc.asp?DDFDocuments/v/G/SPS/NCHN797.DOC")</f>
        <v>https://docs.wto.org/imrd/directdoc.asp?DDFDocuments/v/G/SPS/NCHN797.DOC</v>
      </c>
      <c r="N1175" s="2" t="str">
        <f>HYPERLINK("http://www.epingalert.org/#/details/G/SPS/N/CHN/797")</f>
        <v>http://www.epingalert.org/#/details/G/SPS/N/CHN/797</v>
      </c>
      <c r="O1175" s="2"/>
    </row>
    <row r="1176" spans="1:15" ht="240" customHeight="1" outlineLevel="1" x14ac:dyDescent="0.25">
      <c r="A1176" s="2" t="s">
        <v>380</v>
      </c>
      <c r="B1176" s="2" t="s">
        <v>4889</v>
      </c>
      <c r="C1176" s="2" t="s">
        <v>4890</v>
      </c>
      <c r="D1176" s="2" t="s">
        <v>4891</v>
      </c>
      <c r="E1176" s="3">
        <v>42030</v>
      </c>
      <c r="F1176" s="2" t="s">
        <v>4892</v>
      </c>
      <c r="G1176" s="2"/>
      <c r="H1176" s="2" t="s">
        <v>2425</v>
      </c>
      <c r="I1176" s="2" t="s">
        <v>2426</v>
      </c>
      <c r="J1176" s="3">
        <v>42090</v>
      </c>
      <c r="K1176" s="2" t="str">
        <f>HYPERLINK("https://docs.wto.org/imrd/directdoc.asp?DDFDocuments/t/G/SPS/NCHN796.DOC")</f>
        <v>https://docs.wto.org/imrd/directdoc.asp?DDFDocuments/t/G/SPS/NCHN796.DOC</v>
      </c>
      <c r="L1176" s="2" t="str">
        <f>HYPERLINK("https://docs.wto.org/imrd/directdoc.asp?DDFDocuments/u/G/SPS/NCHN796.DOC")</f>
        <v>https://docs.wto.org/imrd/directdoc.asp?DDFDocuments/u/G/SPS/NCHN796.DOC</v>
      </c>
      <c r="M1176" s="2" t="str">
        <f>HYPERLINK("https://docs.wto.org/imrd/directdoc.asp?DDFDocuments/v/G/SPS/NCHN796.DOC")</f>
        <v>https://docs.wto.org/imrd/directdoc.asp?DDFDocuments/v/G/SPS/NCHN796.DOC</v>
      </c>
      <c r="N1176" s="2" t="str">
        <f>HYPERLINK("http://www.epingalert.org/#/details/G/SPS/N/CHN/796")</f>
        <v>http://www.epingalert.org/#/details/G/SPS/N/CHN/796</v>
      </c>
      <c r="O1176" s="2"/>
    </row>
    <row r="1177" spans="1:15" ht="240" customHeight="1" outlineLevel="1" x14ac:dyDescent="0.25">
      <c r="A1177" s="2" t="s">
        <v>380</v>
      </c>
      <c r="B1177" s="2" t="s">
        <v>4893</v>
      </c>
      <c r="C1177" s="2" t="s">
        <v>4894</v>
      </c>
      <c r="D1177" s="2" t="s">
        <v>4895</v>
      </c>
      <c r="E1177" s="3">
        <v>42030</v>
      </c>
      <c r="F1177" s="2" t="s">
        <v>4896</v>
      </c>
      <c r="G1177" s="2"/>
      <c r="H1177" s="2" t="s">
        <v>2425</v>
      </c>
      <c r="I1177" s="2" t="s">
        <v>2426</v>
      </c>
      <c r="J1177" s="3">
        <v>42090</v>
      </c>
      <c r="K1177" s="2" t="str">
        <f>HYPERLINK("https://docs.wto.org/imrd/directdoc.asp?DDFDocuments/t/G/SPS/NCHN795.DOC")</f>
        <v>https://docs.wto.org/imrd/directdoc.asp?DDFDocuments/t/G/SPS/NCHN795.DOC</v>
      </c>
      <c r="L1177" s="2" t="str">
        <f>HYPERLINK("https://docs.wto.org/imrd/directdoc.asp?DDFDocuments/u/G/SPS/NCHN795.DOC")</f>
        <v>https://docs.wto.org/imrd/directdoc.asp?DDFDocuments/u/G/SPS/NCHN795.DOC</v>
      </c>
      <c r="M1177" s="2" t="str">
        <f>HYPERLINK("https://docs.wto.org/imrd/directdoc.asp?DDFDocuments/v/G/SPS/NCHN795.DOC")</f>
        <v>https://docs.wto.org/imrd/directdoc.asp?DDFDocuments/v/G/SPS/NCHN795.DOC</v>
      </c>
      <c r="N1177" s="2" t="str">
        <f>HYPERLINK("http://www.epingalert.org/#/details/G/SPS/N/CHN/795")</f>
        <v>http://www.epingalert.org/#/details/G/SPS/N/CHN/795</v>
      </c>
      <c r="O1177" s="2"/>
    </row>
    <row r="1178" spans="1:15" ht="240" customHeight="1" outlineLevel="1" x14ac:dyDescent="0.25">
      <c r="A1178" s="2" t="s">
        <v>380</v>
      </c>
      <c r="B1178" s="2" t="s">
        <v>4897</v>
      </c>
      <c r="C1178" s="2" t="s">
        <v>4898</v>
      </c>
      <c r="D1178" s="2" t="s">
        <v>4899</v>
      </c>
      <c r="E1178" s="3">
        <v>42030</v>
      </c>
      <c r="F1178" s="2" t="s">
        <v>4900</v>
      </c>
      <c r="G1178" s="2"/>
      <c r="H1178" s="2" t="s">
        <v>2425</v>
      </c>
      <c r="I1178" s="2" t="s">
        <v>2426</v>
      </c>
      <c r="J1178" s="3">
        <v>42090</v>
      </c>
      <c r="K1178" s="2" t="str">
        <f>HYPERLINK("https://docs.wto.org/imrd/directdoc.asp?DDFDocuments/t/G/SPS/NCHN794.DOC")</f>
        <v>https://docs.wto.org/imrd/directdoc.asp?DDFDocuments/t/G/SPS/NCHN794.DOC</v>
      </c>
      <c r="L1178" s="2" t="str">
        <f>HYPERLINK("https://docs.wto.org/imrd/directdoc.asp?DDFDocuments/u/G/SPS/NCHN794.DOC")</f>
        <v>https://docs.wto.org/imrd/directdoc.asp?DDFDocuments/u/G/SPS/NCHN794.DOC</v>
      </c>
      <c r="M1178" s="2" t="str">
        <f>HYPERLINK("https://docs.wto.org/imrd/directdoc.asp?DDFDocuments/v/G/SPS/NCHN794.DOC")</f>
        <v>https://docs.wto.org/imrd/directdoc.asp?DDFDocuments/v/G/SPS/NCHN794.DOC</v>
      </c>
      <c r="N1178" s="2" t="str">
        <f>HYPERLINK("http://www.epingalert.org/#/details/G/SPS/N/CHN/794")</f>
        <v>http://www.epingalert.org/#/details/G/SPS/N/CHN/794</v>
      </c>
      <c r="O1178" s="2"/>
    </row>
    <row r="1179" spans="1:15" ht="240" customHeight="1" outlineLevel="1" x14ac:dyDescent="0.25">
      <c r="A1179" s="2" t="s">
        <v>380</v>
      </c>
      <c r="B1179" s="2" t="s">
        <v>4901</v>
      </c>
      <c r="C1179" s="2" t="s">
        <v>4902</v>
      </c>
      <c r="D1179" s="2" t="s">
        <v>4903</v>
      </c>
      <c r="E1179" s="3">
        <v>42030</v>
      </c>
      <c r="F1179" s="2" t="s">
        <v>4904</v>
      </c>
      <c r="G1179" s="2"/>
      <c r="H1179" s="2" t="s">
        <v>2425</v>
      </c>
      <c r="I1179" s="2" t="s">
        <v>2426</v>
      </c>
      <c r="J1179" s="3">
        <v>42090</v>
      </c>
      <c r="K1179" s="2" t="str">
        <f>HYPERLINK("https://docs.wto.org/imrd/directdoc.asp?DDFDocuments/t/G/SPS/NCHN793.DOC")</f>
        <v>https://docs.wto.org/imrd/directdoc.asp?DDFDocuments/t/G/SPS/NCHN793.DOC</v>
      </c>
      <c r="L1179" s="2" t="str">
        <f>HYPERLINK("https://docs.wto.org/imrd/directdoc.asp?DDFDocuments/u/G/SPS/NCHN793.DOC")</f>
        <v>https://docs.wto.org/imrd/directdoc.asp?DDFDocuments/u/G/SPS/NCHN793.DOC</v>
      </c>
      <c r="M1179" s="2" t="str">
        <f>HYPERLINK("https://docs.wto.org/imrd/directdoc.asp?DDFDocuments/v/G/SPS/NCHN793.DOC")</f>
        <v>https://docs.wto.org/imrd/directdoc.asp?DDFDocuments/v/G/SPS/NCHN793.DOC</v>
      </c>
      <c r="N1179" s="2" t="str">
        <f>HYPERLINK("http://www.epingalert.org/#/details/G/SPS/N/CHN/793")</f>
        <v>http://www.epingalert.org/#/details/G/SPS/N/CHN/793</v>
      </c>
      <c r="O1179" s="2"/>
    </row>
    <row r="1180" spans="1:15" ht="240" customHeight="1" outlineLevel="1" x14ac:dyDescent="0.25">
      <c r="A1180" s="2" t="s">
        <v>380</v>
      </c>
      <c r="B1180" s="2" t="s">
        <v>4905</v>
      </c>
      <c r="C1180" s="2" t="s">
        <v>4906</v>
      </c>
      <c r="D1180" s="2" t="s">
        <v>4907</v>
      </c>
      <c r="E1180" s="3">
        <v>42030</v>
      </c>
      <c r="F1180" s="2" t="s">
        <v>4908</v>
      </c>
      <c r="G1180" s="2"/>
      <c r="H1180" s="2" t="s">
        <v>2425</v>
      </c>
      <c r="I1180" s="2" t="s">
        <v>2426</v>
      </c>
      <c r="J1180" s="3">
        <v>42090</v>
      </c>
      <c r="K1180" s="2" t="str">
        <f>HYPERLINK("https://docs.wto.org/imrd/directdoc.asp?DDFDocuments/t/G/SPS/NCHN792.DOC")</f>
        <v>https://docs.wto.org/imrd/directdoc.asp?DDFDocuments/t/G/SPS/NCHN792.DOC</v>
      </c>
      <c r="L1180" s="2" t="str">
        <f>HYPERLINK("https://docs.wto.org/imrd/directdoc.asp?DDFDocuments/u/G/SPS/NCHN792.DOC")</f>
        <v>https://docs.wto.org/imrd/directdoc.asp?DDFDocuments/u/G/SPS/NCHN792.DOC</v>
      </c>
      <c r="M1180" s="2" t="str">
        <f>HYPERLINK("https://docs.wto.org/imrd/directdoc.asp?DDFDocuments/v/G/SPS/NCHN792.DOC")</f>
        <v>https://docs.wto.org/imrd/directdoc.asp?DDFDocuments/v/G/SPS/NCHN792.DOC</v>
      </c>
      <c r="N1180" s="2" t="str">
        <f>HYPERLINK("http://www.epingalert.org/#/details/G/SPS/N/CHN/792")</f>
        <v>http://www.epingalert.org/#/details/G/SPS/N/CHN/792</v>
      </c>
      <c r="O1180" s="2"/>
    </row>
    <row r="1181" spans="1:15" ht="240" customHeight="1" outlineLevel="1" x14ac:dyDescent="0.25">
      <c r="A1181" s="2" t="s">
        <v>380</v>
      </c>
      <c r="B1181" s="2" t="s">
        <v>4909</v>
      </c>
      <c r="C1181" s="2" t="s">
        <v>4910</v>
      </c>
      <c r="D1181" s="2" t="s">
        <v>4911</v>
      </c>
      <c r="E1181" s="3">
        <v>42030</v>
      </c>
      <c r="F1181" s="2" t="s">
        <v>4912</v>
      </c>
      <c r="G1181" s="2"/>
      <c r="H1181" s="2" t="s">
        <v>2425</v>
      </c>
      <c r="I1181" s="2" t="s">
        <v>2426</v>
      </c>
      <c r="J1181" s="3">
        <v>42090</v>
      </c>
      <c r="K1181" s="2" t="str">
        <f>HYPERLINK("https://docs.wto.org/imrd/directdoc.asp?DDFDocuments/t/G/SPS/NCHN791.DOC")</f>
        <v>https://docs.wto.org/imrd/directdoc.asp?DDFDocuments/t/G/SPS/NCHN791.DOC</v>
      </c>
      <c r="L1181" s="2" t="str">
        <f>HYPERLINK("https://docs.wto.org/imrd/directdoc.asp?DDFDocuments/u/G/SPS/NCHN791.DOC")</f>
        <v>https://docs.wto.org/imrd/directdoc.asp?DDFDocuments/u/G/SPS/NCHN791.DOC</v>
      </c>
      <c r="M1181" s="2" t="str">
        <f>HYPERLINK("https://docs.wto.org/imrd/directdoc.asp?DDFDocuments/v/G/SPS/NCHN791.DOC")</f>
        <v>https://docs.wto.org/imrd/directdoc.asp?DDFDocuments/v/G/SPS/NCHN791.DOC</v>
      </c>
      <c r="N1181" s="2" t="str">
        <f>HYPERLINK("http://www.epingalert.org/#/details/G/SPS/N/CHN/791")</f>
        <v>http://www.epingalert.org/#/details/G/SPS/N/CHN/791</v>
      </c>
      <c r="O1181" s="2"/>
    </row>
    <row r="1182" spans="1:15" ht="240" customHeight="1" outlineLevel="1" x14ac:dyDescent="0.25">
      <c r="A1182" s="2" t="s">
        <v>380</v>
      </c>
      <c r="B1182" s="2" t="s">
        <v>4913</v>
      </c>
      <c r="C1182" s="2" t="s">
        <v>4914</v>
      </c>
      <c r="D1182" s="2" t="s">
        <v>4915</v>
      </c>
      <c r="E1182" s="3">
        <v>42030</v>
      </c>
      <c r="F1182" s="2" t="s">
        <v>4916</v>
      </c>
      <c r="G1182" s="2"/>
      <c r="H1182" s="2" t="s">
        <v>2425</v>
      </c>
      <c r="I1182" s="2" t="s">
        <v>2426</v>
      </c>
      <c r="J1182" s="3">
        <v>42090</v>
      </c>
      <c r="K1182" s="2" t="str">
        <f>HYPERLINK("https://docs.wto.org/imrd/directdoc.asp?DDFDocuments/t/G/SPS/NCHN790.DOC")</f>
        <v>https://docs.wto.org/imrd/directdoc.asp?DDFDocuments/t/G/SPS/NCHN790.DOC</v>
      </c>
      <c r="L1182" s="2" t="str">
        <f>HYPERLINK("https://docs.wto.org/imrd/directdoc.asp?DDFDocuments/u/G/SPS/NCHN790.DOC")</f>
        <v>https://docs.wto.org/imrd/directdoc.asp?DDFDocuments/u/G/SPS/NCHN790.DOC</v>
      </c>
      <c r="M1182" s="2" t="str">
        <f>HYPERLINK("https://docs.wto.org/imrd/directdoc.asp?DDFDocuments/v/G/SPS/NCHN790.DOC")</f>
        <v>https://docs.wto.org/imrd/directdoc.asp?DDFDocuments/v/G/SPS/NCHN790.DOC</v>
      </c>
      <c r="N1182" s="2" t="str">
        <f>HYPERLINK("http://www.epingalert.org/#/details/G/SPS/N/CHN/790")</f>
        <v>http://www.epingalert.org/#/details/G/SPS/N/CHN/790</v>
      </c>
      <c r="O1182" s="2"/>
    </row>
    <row r="1183" spans="1:15" ht="240" customHeight="1" outlineLevel="1" x14ac:dyDescent="0.25">
      <c r="A1183" s="2" t="s">
        <v>380</v>
      </c>
      <c r="B1183" s="2" t="s">
        <v>4917</v>
      </c>
      <c r="C1183" s="2" t="s">
        <v>4918</v>
      </c>
      <c r="D1183" s="2" t="s">
        <v>4919</v>
      </c>
      <c r="E1183" s="3">
        <v>42030</v>
      </c>
      <c r="F1183" s="2" t="s">
        <v>4920</v>
      </c>
      <c r="G1183" s="2"/>
      <c r="H1183" s="2" t="s">
        <v>2425</v>
      </c>
      <c r="I1183" s="2" t="s">
        <v>2426</v>
      </c>
      <c r="J1183" s="3">
        <v>42090</v>
      </c>
      <c r="K1183" s="2" t="str">
        <f>HYPERLINK("https://docs.wto.org/imrd/directdoc.asp?DDFDocuments/t/G/SPS/NCHN789.DOC")</f>
        <v>https://docs.wto.org/imrd/directdoc.asp?DDFDocuments/t/G/SPS/NCHN789.DOC</v>
      </c>
      <c r="L1183" s="2" t="str">
        <f>HYPERLINK("https://docs.wto.org/imrd/directdoc.asp?DDFDocuments/u/G/SPS/NCHN789.DOC")</f>
        <v>https://docs.wto.org/imrd/directdoc.asp?DDFDocuments/u/G/SPS/NCHN789.DOC</v>
      </c>
      <c r="M1183" s="2" t="str">
        <f>HYPERLINK("https://docs.wto.org/imrd/directdoc.asp?DDFDocuments/v/G/SPS/NCHN789.DOC")</f>
        <v>https://docs.wto.org/imrd/directdoc.asp?DDFDocuments/v/G/SPS/NCHN789.DOC</v>
      </c>
      <c r="N1183" s="2" t="str">
        <f>HYPERLINK("http://www.epingalert.org/#/details/G/SPS/N/CHN/789")</f>
        <v>http://www.epingalert.org/#/details/G/SPS/N/CHN/789</v>
      </c>
      <c r="O1183" s="2"/>
    </row>
    <row r="1184" spans="1:15" ht="240" customHeight="1" outlineLevel="1" x14ac:dyDescent="0.25">
      <c r="A1184" s="2" t="s">
        <v>380</v>
      </c>
      <c r="B1184" s="2" t="s">
        <v>4921</v>
      </c>
      <c r="C1184" s="2" t="s">
        <v>4922</v>
      </c>
      <c r="D1184" s="2" t="s">
        <v>4923</v>
      </c>
      <c r="E1184" s="3">
        <v>42030</v>
      </c>
      <c r="F1184" s="2" t="s">
        <v>4924</v>
      </c>
      <c r="G1184" s="2"/>
      <c r="H1184" s="2" t="s">
        <v>2425</v>
      </c>
      <c r="I1184" s="2" t="s">
        <v>2426</v>
      </c>
      <c r="J1184" s="3">
        <v>42090</v>
      </c>
      <c r="K1184" s="2" t="str">
        <f>HYPERLINK("https://docs.wto.org/imrd/directdoc.asp?DDFDocuments/t/G/SPS/NCHN788.DOC")</f>
        <v>https://docs.wto.org/imrd/directdoc.asp?DDFDocuments/t/G/SPS/NCHN788.DOC</v>
      </c>
      <c r="L1184" s="2" t="str">
        <f>HYPERLINK("https://docs.wto.org/imrd/directdoc.asp?DDFDocuments/u/G/SPS/NCHN788.DOC")</f>
        <v>https://docs.wto.org/imrd/directdoc.asp?DDFDocuments/u/G/SPS/NCHN788.DOC</v>
      </c>
      <c r="M1184" s="2" t="str">
        <f>HYPERLINK("https://docs.wto.org/imrd/directdoc.asp?DDFDocuments/v/G/SPS/NCHN788.DOC")</f>
        <v>https://docs.wto.org/imrd/directdoc.asp?DDFDocuments/v/G/SPS/NCHN788.DOC</v>
      </c>
      <c r="N1184" s="2" t="str">
        <f>HYPERLINK("http://www.epingalert.org/#/details/G/SPS/N/CHN/788")</f>
        <v>http://www.epingalert.org/#/details/G/SPS/N/CHN/788</v>
      </c>
      <c r="O1184" s="2"/>
    </row>
    <row r="1185" spans="1:15" ht="240" customHeight="1" outlineLevel="1" x14ac:dyDescent="0.25">
      <c r="A1185" s="2" t="s">
        <v>380</v>
      </c>
      <c r="B1185" s="2" t="s">
        <v>4925</v>
      </c>
      <c r="C1185" s="2" t="s">
        <v>4926</v>
      </c>
      <c r="D1185" s="2" t="s">
        <v>4927</v>
      </c>
      <c r="E1185" s="3">
        <v>42030</v>
      </c>
      <c r="F1185" s="2" t="s">
        <v>4928</v>
      </c>
      <c r="G1185" s="2"/>
      <c r="H1185" s="2" t="s">
        <v>2425</v>
      </c>
      <c r="I1185" s="2" t="s">
        <v>2426</v>
      </c>
      <c r="J1185" s="3">
        <v>42090</v>
      </c>
      <c r="K1185" s="2" t="str">
        <f>HYPERLINK("https://docs.wto.org/imrd/directdoc.asp?DDFDocuments/t/G/SPS/NCHN787.DOC")</f>
        <v>https://docs.wto.org/imrd/directdoc.asp?DDFDocuments/t/G/SPS/NCHN787.DOC</v>
      </c>
      <c r="L1185" s="2" t="str">
        <f>HYPERLINK("https://docs.wto.org/imrd/directdoc.asp?DDFDocuments/u/G/SPS/NCHN787.DOC")</f>
        <v>https://docs.wto.org/imrd/directdoc.asp?DDFDocuments/u/G/SPS/NCHN787.DOC</v>
      </c>
      <c r="M1185" s="2" t="str">
        <f>HYPERLINK("https://docs.wto.org/imrd/directdoc.asp?DDFDocuments/v/G/SPS/NCHN787.DOC")</f>
        <v>https://docs.wto.org/imrd/directdoc.asp?DDFDocuments/v/G/SPS/NCHN787.DOC</v>
      </c>
      <c r="N1185" s="2" t="str">
        <f>HYPERLINK("http://www.epingalert.org/#/details/G/SPS/N/CHN/787")</f>
        <v>http://www.epingalert.org/#/details/G/SPS/N/CHN/787</v>
      </c>
      <c r="O1185" s="2"/>
    </row>
    <row r="1186" spans="1:15" ht="240" customHeight="1" outlineLevel="1" x14ac:dyDescent="0.25">
      <c r="A1186" s="2" t="s">
        <v>380</v>
      </c>
      <c r="B1186" s="2" t="s">
        <v>4929</v>
      </c>
      <c r="C1186" s="2" t="s">
        <v>4930</v>
      </c>
      <c r="D1186" s="2" t="s">
        <v>4931</v>
      </c>
      <c r="E1186" s="3">
        <v>42030</v>
      </c>
      <c r="F1186" s="2" t="s">
        <v>4932</v>
      </c>
      <c r="G1186" s="2"/>
      <c r="H1186" s="2" t="s">
        <v>2425</v>
      </c>
      <c r="I1186" s="2" t="s">
        <v>2426</v>
      </c>
      <c r="J1186" s="3">
        <v>42090</v>
      </c>
      <c r="K1186" s="2" t="str">
        <f>HYPERLINK("https://docs.wto.org/imrd/directdoc.asp?DDFDocuments/t/G/SPS/NCHN786.DOC")</f>
        <v>https://docs.wto.org/imrd/directdoc.asp?DDFDocuments/t/G/SPS/NCHN786.DOC</v>
      </c>
      <c r="L1186" s="2" t="str">
        <f>HYPERLINK("https://docs.wto.org/imrd/directdoc.asp?DDFDocuments/u/G/SPS/NCHN786.DOC")</f>
        <v>https://docs.wto.org/imrd/directdoc.asp?DDFDocuments/u/G/SPS/NCHN786.DOC</v>
      </c>
      <c r="M1186" s="2" t="str">
        <f>HYPERLINK("https://docs.wto.org/imrd/directdoc.asp?DDFDocuments/v/G/SPS/NCHN786.DOC")</f>
        <v>https://docs.wto.org/imrd/directdoc.asp?DDFDocuments/v/G/SPS/NCHN786.DOC</v>
      </c>
      <c r="N1186" s="2" t="str">
        <f>HYPERLINK("http://www.epingalert.org/#/details/G/SPS/N/CHN/786")</f>
        <v>http://www.epingalert.org/#/details/G/SPS/N/CHN/786</v>
      </c>
      <c r="O1186" s="2"/>
    </row>
    <row r="1187" spans="1:15" ht="240" customHeight="1" outlineLevel="1" x14ac:dyDescent="0.25">
      <c r="A1187" s="2" t="s">
        <v>380</v>
      </c>
      <c r="B1187" s="2" t="s">
        <v>4933</v>
      </c>
      <c r="C1187" s="2" t="s">
        <v>4934</v>
      </c>
      <c r="D1187" s="2" t="s">
        <v>4935</v>
      </c>
      <c r="E1187" s="3">
        <v>42030</v>
      </c>
      <c r="F1187" s="2" t="s">
        <v>4936</v>
      </c>
      <c r="G1187" s="2"/>
      <c r="H1187" s="2" t="s">
        <v>2425</v>
      </c>
      <c r="I1187" s="2" t="s">
        <v>2426</v>
      </c>
      <c r="J1187" s="3">
        <v>42090</v>
      </c>
      <c r="K1187" s="2" t="str">
        <f>HYPERLINK("https://docs.wto.org/imrd/directdoc.asp?DDFDocuments/t/G/SPS/NCHN785.DOC")</f>
        <v>https://docs.wto.org/imrd/directdoc.asp?DDFDocuments/t/G/SPS/NCHN785.DOC</v>
      </c>
      <c r="L1187" s="2" t="str">
        <f>HYPERLINK("https://docs.wto.org/imrd/directdoc.asp?DDFDocuments/u/G/SPS/NCHN785.DOC")</f>
        <v>https://docs.wto.org/imrd/directdoc.asp?DDFDocuments/u/G/SPS/NCHN785.DOC</v>
      </c>
      <c r="M1187" s="2" t="str">
        <f>HYPERLINK("https://docs.wto.org/imrd/directdoc.asp?DDFDocuments/v/G/SPS/NCHN785.DOC")</f>
        <v>https://docs.wto.org/imrd/directdoc.asp?DDFDocuments/v/G/SPS/NCHN785.DOC</v>
      </c>
      <c r="N1187" s="2" t="str">
        <f>HYPERLINK("http://www.epingalert.org/#/details/G/SPS/N/CHN/785")</f>
        <v>http://www.epingalert.org/#/details/G/SPS/N/CHN/785</v>
      </c>
      <c r="O1187" s="2"/>
    </row>
    <row r="1188" spans="1:15" ht="240" customHeight="1" outlineLevel="1" x14ac:dyDescent="0.25">
      <c r="A1188" s="2" t="s">
        <v>380</v>
      </c>
      <c r="B1188" s="2" t="s">
        <v>4937</v>
      </c>
      <c r="C1188" s="2" t="s">
        <v>4938</v>
      </c>
      <c r="D1188" s="2" t="s">
        <v>4939</v>
      </c>
      <c r="E1188" s="3">
        <v>42030</v>
      </c>
      <c r="F1188" s="2" t="s">
        <v>4940</v>
      </c>
      <c r="G1188" s="2"/>
      <c r="H1188" s="2" t="s">
        <v>2425</v>
      </c>
      <c r="I1188" s="2" t="s">
        <v>2426</v>
      </c>
      <c r="J1188" s="3">
        <v>42090</v>
      </c>
      <c r="K1188" s="2" t="str">
        <f>HYPERLINK("https://docs.wto.org/imrd/directdoc.asp?DDFDocuments/t/G/SPS/NCHN784.DOC")</f>
        <v>https://docs.wto.org/imrd/directdoc.asp?DDFDocuments/t/G/SPS/NCHN784.DOC</v>
      </c>
      <c r="L1188" s="2" t="str">
        <f>HYPERLINK("https://docs.wto.org/imrd/directdoc.asp?DDFDocuments/u/G/SPS/NCHN784.DOC")</f>
        <v>https://docs.wto.org/imrd/directdoc.asp?DDFDocuments/u/G/SPS/NCHN784.DOC</v>
      </c>
      <c r="M1188" s="2" t="str">
        <f>HYPERLINK("https://docs.wto.org/imrd/directdoc.asp?DDFDocuments/v/G/SPS/NCHN784.DOC")</f>
        <v>https://docs.wto.org/imrd/directdoc.asp?DDFDocuments/v/G/SPS/NCHN784.DOC</v>
      </c>
      <c r="N1188" s="2" t="str">
        <f>HYPERLINK("http://www.epingalert.org/#/details/G/SPS/N/CHN/784")</f>
        <v>http://www.epingalert.org/#/details/G/SPS/N/CHN/784</v>
      </c>
      <c r="O1188" s="2"/>
    </row>
    <row r="1189" spans="1:15" ht="240" customHeight="1" outlineLevel="1" x14ac:dyDescent="0.25">
      <c r="A1189" s="2" t="s">
        <v>380</v>
      </c>
      <c r="B1189" s="2" t="s">
        <v>4941</v>
      </c>
      <c r="C1189" s="2" t="s">
        <v>4942</v>
      </c>
      <c r="D1189" s="2" t="s">
        <v>4943</v>
      </c>
      <c r="E1189" s="3">
        <v>42030</v>
      </c>
      <c r="F1189" s="2" t="s">
        <v>4944</v>
      </c>
      <c r="G1189" s="2"/>
      <c r="H1189" s="2" t="s">
        <v>2425</v>
      </c>
      <c r="I1189" s="2" t="s">
        <v>2426</v>
      </c>
      <c r="J1189" s="3">
        <v>42090</v>
      </c>
      <c r="K1189" s="2" t="str">
        <f>HYPERLINK("https://docs.wto.org/imrd/directdoc.asp?DDFDocuments/t/G/SPS/NCHN783.DOC")</f>
        <v>https://docs.wto.org/imrd/directdoc.asp?DDFDocuments/t/G/SPS/NCHN783.DOC</v>
      </c>
      <c r="L1189" s="2" t="str">
        <f>HYPERLINK("https://docs.wto.org/imrd/directdoc.asp?DDFDocuments/u/G/SPS/NCHN783.DOC")</f>
        <v>https://docs.wto.org/imrd/directdoc.asp?DDFDocuments/u/G/SPS/NCHN783.DOC</v>
      </c>
      <c r="M1189" s="2" t="str">
        <f>HYPERLINK("https://docs.wto.org/imrd/directdoc.asp?DDFDocuments/v/G/SPS/NCHN783.DOC")</f>
        <v>https://docs.wto.org/imrd/directdoc.asp?DDFDocuments/v/G/SPS/NCHN783.DOC</v>
      </c>
      <c r="N1189" s="2" t="str">
        <f>HYPERLINK("http://www.epingalert.org/#/details/G/SPS/N/CHN/783")</f>
        <v>http://www.epingalert.org/#/details/G/SPS/N/CHN/783</v>
      </c>
      <c r="O1189" s="2"/>
    </row>
    <row r="1190" spans="1:15" ht="240" customHeight="1" outlineLevel="1" x14ac:dyDescent="0.25">
      <c r="A1190" s="2" t="s">
        <v>380</v>
      </c>
      <c r="B1190" s="2" t="s">
        <v>4945</v>
      </c>
      <c r="C1190" s="2" t="s">
        <v>4946</v>
      </c>
      <c r="D1190" s="2" t="s">
        <v>4947</v>
      </c>
      <c r="E1190" s="3">
        <v>42030</v>
      </c>
      <c r="F1190" s="2" t="s">
        <v>4948</v>
      </c>
      <c r="G1190" s="2"/>
      <c r="H1190" s="2" t="s">
        <v>2425</v>
      </c>
      <c r="I1190" s="2" t="s">
        <v>2426</v>
      </c>
      <c r="J1190" s="3">
        <v>42090</v>
      </c>
      <c r="K1190" s="2" t="str">
        <f>HYPERLINK("https://docs.wto.org/imrd/directdoc.asp?DDFDocuments/t/G/SPS/NCHN782.DOC")</f>
        <v>https://docs.wto.org/imrd/directdoc.asp?DDFDocuments/t/G/SPS/NCHN782.DOC</v>
      </c>
      <c r="L1190" s="2" t="str">
        <f>HYPERLINK("https://docs.wto.org/imrd/directdoc.asp?DDFDocuments/u/G/SPS/NCHN782.DOC")</f>
        <v>https://docs.wto.org/imrd/directdoc.asp?DDFDocuments/u/G/SPS/NCHN782.DOC</v>
      </c>
      <c r="M1190" s="2" t="str">
        <f>HYPERLINK("https://docs.wto.org/imrd/directdoc.asp?DDFDocuments/v/G/SPS/NCHN782.DOC")</f>
        <v>https://docs.wto.org/imrd/directdoc.asp?DDFDocuments/v/G/SPS/NCHN782.DOC</v>
      </c>
      <c r="N1190" s="2" t="str">
        <f>HYPERLINK("http://www.epingalert.org/#/details/G/SPS/N/CHN/782")</f>
        <v>http://www.epingalert.org/#/details/G/SPS/N/CHN/782</v>
      </c>
      <c r="O1190" s="2"/>
    </row>
    <row r="1191" spans="1:15" ht="240" customHeight="1" outlineLevel="1" x14ac:dyDescent="0.25">
      <c r="A1191" s="2" t="s">
        <v>380</v>
      </c>
      <c r="B1191" s="2" t="s">
        <v>4949</v>
      </c>
      <c r="C1191" s="2" t="s">
        <v>4950</v>
      </c>
      <c r="D1191" s="2" t="s">
        <v>4951</v>
      </c>
      <c r="E1191" s="3">
        <v>42030</v>
      </c>
      <c r="F1191" s="2" t="s">
        <v>4952</v>
      </c>
      <c r="G1191" s="2"/>
      <c r="H1191" s="2" t="s">
        <v>2425</v>
      </c>
      <c r="I1191" s="2" t="s">
        <v>2426</v>
      </c>
      <c r="J1191" s="3">
        <v>42090</v>
      </c>
      <c r="K1191" s="2" t="str">
        <f>HYPERLINK("https://docs.wto.org/imrd/directdoc.asp?DDFDocuments/t/G/SPS/NCHN781.DOC")</f>
        <v>https://docs.wto.org/imrd/directdoc.asp?DDFDocuments/t/G/SPS/NCHN781.DOC</v>
      </c>
      <c r="L1191" s="2" t="str">
        <f>HYPERLINK("https://docs.wto.org/imrd/directdoc.asp?DDFDocuments/u/G/SPS/NCHN781.DOC")</f>
        <v>https://docs.wto.org/imrd/directdoc.asp?DDFDocuments/u/G/SPS/NCHN781.DOC</v>
      </c>
      <c r="M1191" s="2" t="str">
        <f>HYPERLINK("https://docs.wto.org/imrd/directdoc.asp?DDFDocuments/v/G/SPS/NCHN781.DOC")</f>
        <v>https://docs.wto.org/imrd/directdoc.asp?DDFDocuments/v/G/SPS/NCHN781.DOC</v>
      </c>
      <c r="N1191" s="2" t="str">
        <f>HYPERLINK("http://www.epingalert.org/#/details/G/SPS/N/CHN/781")</f>
        <v>http://www.epingalert.org/#/details/G/SPS/N/CHN/781</v>
      </c>
      <c r="O1191" s="2"/>
    </row>
    <row r="1192" spans="1:15" ht="240" customHeight="1" outlineLevel="1" x14ac:dyDescent="0.25">
      <c r="A1192" s="2" t="s">
        <v>380</v>
      </c>
      <c r="B1192" s="2" t="s">
        <v>4953</v>
      </c>
      <c r="C1192" s="2" t="s">
        <v>4954</v>
      </c>
      <c r="D1192" s="2" t="s">
        <v>4955</v>
      </c>
      <c r="E1192" s="3">
        <v>42030</v>
      </c>
      <c r="F1192" s="2" t="s">
        <v>4956</v>
      </c>
      <c r="G1192" s="2"/>
      <c r="H1192" s="2" t="s">
        <v>2425</v>
      </c>
      <c r="I1192" s="2" t="s">
        <v>2426</v>
      </c>
      <c r="J1192" s="3">
        <v>42090</v>
      </c>
      <c r="K1192" s="2" t="str">
        <f>HYPERLINK("https://docs.wto.org/imrd/directdoc.asp?DDFDocuments/t/G/SPS/NCHN780.DOC")</f>
        <v>https://docs.wto.org/imrd/directdoc.asp?DDFDocuments/t/G/SPS/NCHN780.DOC</v>
      </c>
      <c r="L1192" s="2" t="str">
        <f>HYPERLINK("https://docs.wto.org/imrd/directdoc.asp?DDFDocuments/u/G/SPS/NCHN780.DOC")</f>
        <v>https://docs.wto.org/imrd/directdoc.asp?DDFDocuments/u/G/SPS/NCHN780.DOC</v>
      </c>
      <c r="M1192" s="2" t="str">
        <f>HYPERLINK("https://docs.wto.org/imrd/directdoc.asp?DDFDocuments/v/G/SPS/NCHN780.DOC")</f>
        <v>https://docs.wto.org/imrd/directdoc.asp?DDFDocuments/v/G/SPS/NCHN780.DOC</v>
      </c>
      <c r="N1192" s="2" t="str">
        <f>HYPERLINK("http://www.epingalert.org/#/details/G/SPS/N/CHN/780")</f>
        <v>http://www.epingalert.org/#/details/G/SPS/N/CHN/780</v>
      </c>
      <c r="O1192" s="2"/>
    </row>
    <row r="1193" spans="1:15" ht="240" customHeight="1" outlineLevel="1" x14ac:dyDescent="0.25">
      <c r="A1193" s="2" t="s">
        <v>380</v>
      </c>
      <c r="B1193" s="2" t="s">
        <v>4957</v>
      </c>
      <c r="C1193" s="2" t="s">
        <v>4958</v>
      </c>
      <c r="D1193" s="2" t="s">
        <v>4959</v>
      </c>
      <c r="E1193" s="3">
        <v>42030</v>
      </c>
      <c r="F1193" s="2" t="s">
        <v>4960</v>
      </c>
      <c r="G1193" s="2"/>
      <c r="H1193" s="2" t="s">
        <v>2425</v>
      </c>
      <c r="I1193" s="2" t="s">
        <v>2426</v>
      </c>
      <c r="J1193" s="3">
        <v>42090</v>
      </c>
      <c r="K1193" s="2" t="str">
        <f>HYPERLINK("https://docs.wto.org/imrd/directdoc.asp?DDFDocuments/t/G/SPS/NCHN779.DOC")</f>
        <v>https://docs.wto.org/imrd/directdoc.asp?DDFDocuments/t/G/SPS/NCHN779.DOC</v>
      </c>
      <c r="L1193" s="2" t="str">
        <f>HYPERLINK("https://docs.wto.org/imrd/directdoc.asp?DDFDocuments/u/G/SPS/NCHN779.DOC")</f>
        <v>https://docs.wto.org/imrd/directdoc.asp?DDFDocuments/u/G/SPS/NCHN779.DOC</v>
      </c>
      <c r="M1193" s="2" t="str">
        <f>HYPERLINK("https://docs.wto.org/imrd/directdoc.asp?DDFDocuments/v/G/SPS/NCHN779.DOC")</f>
        <v>https://docs.wto.org/imrd/directdoc.asp?DDFDocuments/v/G/SPS/NCHN779.DOC</v>
      </c>
      <c r="N1193" s="2" t="str">
        <f>HYPERLINK("http://www.epingalert.org/#/details/G/SPS/N/CHN/779")</f>
        <v>http://www.epingalert.org/#/details/G/SPS/N/CHN/779</v>
      </c>
      <c r="O1193" s="2"/>
    </row>
    <row r="1194" spans="1:15" ht="240" customHeight="1" outlineLevel="1" x14ac:dyDescent="0.25">
      <c r="A1194" s="2" t="s">
        <v>380</v>
      </c>
      <c r="B1194" s="2" t="s">
        <v>4961</v>
      </c>
      <c r="C1194" s="2" t="s">
        <v>4962</v>
      </c>
      <c r="D1194" s="2" t="s">
        <v>4963</v>
      </c>
      <c r="E1194" s="3">
        <v>42030</v>
      </c>
      <c r="F1194" s="2" t="s">
        <v>4964</v>
      </c>
      <c r="G1194" s="2"/>
      <c r="H1194" s="2" t="s">
        <v>2425</v>
      </c>
      <c r="I1194" s="2" t="s">
        <v>2426</v>
      </c>
      <c r="J1194" s="3">
        <v>42090</v>
      </c>
      <c r="K1194" s="2" t="str">
        <f>HYPERLINK("https://docs.wto.org/imrd/directdoc.asp?DDFDocuments/t/G/SPS/NCHN778.DOC")</f>
        <v>https://docs.wto.org/imrd/directdoc.asp?DDFDocuments/t/G/SPS/NCHN778.DOC</v>
      </c>
      <c r="L1194" s="2" t="str">
        <f>HYPERLINK("https://docs.wto.org/imrd/directdoc.asp?DDFDocuments/u/G/SPS/NCHN778.DOC")</f>
        <v>https://docs.wto.org/imrd/directdoc.asp?DDFDocuments/u/G/SPS/NCHN778.DOC</v>
      </c>
      <c r="M1194" s="2" t="str">
        <f>HYPERLINK("https://docs.wto.org/imrd/directdoc.asp?DDFDocuments/v/G/SPS/NCHN778.DOC")</f>
        <v>https://docs.wto.org/imrd/directdoc.asp?DDFDocuments/v/G/SPS/NCHN778.DOC</v>
      </c>
      <c r="N1194" s="2" t="str">
        <f>HYPERLINK("http://www.epingalert.org/#/details/G/SPS/N/CHN/778")</f>
        <v>http://www.epingalert.org/#/details/G/SPS/N/CHN/778</v>
      </c>
      <c r="O1194" s="2"/>
    </row>
    <row r="1195" spans="1:15" ht="240" customHeight="1" outlineLevel="1" x14ac:dyDescent="0.25">
      <c r="A1195" s="2" t="s">
        <v>380</v>
      </c>
      <c r="B1195" s="2" t="s">
        <v>4965</v>
      </c>
      <c r="C1195" s="2" t="s">
        <v>4966</v>
      </c>
      <c r="D1195" s="2" t="s">
        <v>4967</v>
      </c>
      <c r="E1195" s="3">
        <v>42030</v>
      </c>
      <c r="F1195" s="2" t="s">
        <v>4968</v>
      </c>
      <c r="G1195" s="2"/>
      <c r="H1195" s="2" t="s">
        <v>2425</v>
      </c>
      <c r="I1195" s="2" t="s">
        <v>2426</v>
      </c>
      <c r="J1195" s="3">
        <v>42090</v>
      </c>
      <c r="K1195" s="2" t="str">
        <f>HYPERLINK("https://docs.wto.org/imrd/directdoc.asp?DDFDocuments/t/G/SPS/NCHN777.DOC")</f>
        <v>https://docs.wto.org/imrd/directdoc.asp?DDFDocuments/t/G/SPS/NCHN777.DOC</v>
      </c>
      <c r="L1195" s="2" t="str">
        <f>HYPERLINK("https://docs.wto.org/imrd/directdoc.asp?DDFDocuments/u/G/SPS/NCHN777.DOC")</f>
        <v>https://docs.wto.org/imrd/directdoc.asp?DDFDocuments/u/G/SPS/NCHN777.DOC</v>
      </c>
      <c r="M1195" s="2" t="str">
        <f>HYPERLINK("https://docs.wto.org/imrd/directdoc.asp?DDFDocuments/v/G/SPS/NCHN777.DOC")</f>
        <v>https://docs.wto.org/imrd/directdoc.asp?DDFDocuments/v/G/SPS/NCHN777.DOC</v>
      </c>
      <c r="N1195" s="2" t="str">
        <f>HYPERLINK("http://www.epingalert.org/#/details/G/SPS/N/CHN/777")</f>
        <v>http://www.epingalert.org/#/details/G/SPS/N/CHN/777</v>
      </c>
      <c r="O1195" s="2"/>
    </row>
    <row r="1196" spans="1:15" ht="240" customHeight="1" outlineLevel="1" x14ac:dyDescent="0.25">
      <c r="A1196" s="2" t="s">
        <v>380</v>
      </c>
      <c r="B1196" s="2" t="s">
        <v>4969</v>
      </c>
      <c r="C1196" s="2" t="s">
        <v>4970</v>
      </c>
      <c r="D1196" s="2" t="s">
        <v>4971</v>
      </c>
      <c r="E1196" s="3">
        <v>42030</v>
      </c>
      <c r="F1196" s="2" t="s">
        <v>4972</v>
      </c>
      <c r="G1196" s="2"/>
      <c r="H1196" s="2" t="s">
        <v>2425</v>
      </c>
      <c r="I1196" s="2" t="s">
        <v>2426</v>
      </c>
      <c r="J1196" s="3">
        <v>42090</v>
      </c>
      <c r="K1196" s="2" t="str">
        <f>HYPERLINK("https://docs.wto.org/imrd/directdoc.asp?DDFDocuments/t/G/SPS/NCHN776.DOC")</f>
        <v>https://docs.wto.org/imrd/directdoc.asp?DDFDocuments/t/G/SPS/NCHN776.DOC</v>
      </c>
      <c r="L1196" s="2" t="str">
        <f>HYPERLINK("https://docs.wto.org/imrd/directdoc.asp?DDFDocuments/u/G/SPS/NCHN776.DOC")</f>
        <v>https://docs.wto.org/imrd/directdoc.asp?DDFDocuments/u/G/SPS/NCHN776.DOC</v>
      </c>
      <c r="M1196" s="2" t="str">
        <f>HYPERLINK("https://docs.wto.org/imrd/directdoc.asp?DDFDocuments/v/G/SPS/NCHN776.DOC")</f>
        <v>https://docs.wto.org/imrd/directdoc.asp?DDFDocuments/v/G/SPS/NCHN776.DOC</v>
      </c>
      <c r="N1196" s="2" t="str">
        <f>HYPERLINK("http://www.epingalert.org/#/details/G/SPS/N/CHN/776")</f>
        <v>http://www.epingalert.org/#/details/G/SPS/N/CHN/776</v>
      </c>
      <c r="O1196" s="2"/>
    </row>
    <row r="1197" spans="1:15" ht="240" customHeight="1" outlineLevel="1" x14ac:dyDescent="0.25">
      <c r="A1197" s="2" t="s">
        <v>380</v>
      </c>
      <c r="B1197" s="2" t="s">
        <v>4973</v>
      </c>
      <c r="C1197" s="2" t="s">
        <v>4974</v>
      </c>
      <c r="D1197" s="2" t="s">
        <v>4975</v>
      </c>
      <c r="E1197" s="3">
        <v>42030</v>
      </c>
      <c r="F1197" s="2" t="s">
        <v>4976</v>
      </c>
      <c r="G1197" s="2"/>
      <c r="H1197" s="2" t="s">
        <v>2425</v>
      </c>
      <c r="I1197" s="2" t="s">
        <v>2426</v>
      </c>
      <c r="J1197" s="3">
        <v>42090</v>
      </c>
      <c r="K1197" s="2" t="str">
        <f>HYPERLINK("https://docs.wto.org/imrd/directdoc.asp?DDFDocuments/t/G/SPS/NCHN775.DOC")</f>
        <v>https://docs.wto.org/imrd/directdoc.asp?DDFDocuments/t/G/SPS/NCHN775.DOC</v>
      </c>
      <c r="L1197" s="2" t="str">
        <f>HYPERLINK("https://docs.wto.org/imrd/directdoc.asp?DDFDocuments/u/G/SPS/NCHN775.DOC")</f>
        <v>https://docs.wto.org/imrd/directdoc.asp?DDFDocuments/u/G/SPS/NCHN775.DOC</v>
      </c>
      <c r="M1197" s="2" t="str">
        <f>HYPERLINK("https://docs.wto.org/imrd/directdoc.asp?DDFDocuments/v/G/SPS/NCHN775.DOC")</f>
        <v>https://docs.wto.org/imrd/directdoc.asp?DDFDocuments/v/G/SPS/NCHN775.DOC</v>
      </c>
      <c r="N1197" s="2" t="str">
        <f>HYPERLINK("http://www.epingalert.org/#/details/G/SPS/N/CHN/775")</f>
        <v>http://www.epingalert.org/#/details/G/SPS/N/CHN/775</v>
      </c>
      <c r="O1197" s="2"/>
    </row>
    <row r="1198" spans="1:15" ht="240" customHeight="1" outlineLevel="1" x14ac:dyDescent="0.25">
      <c r="A1198" s="2" t="s">
        <v>380</v>
      </c>
      <c r="B1198" s="2" t="s">
        <v>4977</v>
      </c>
      <c r="C1198" s="2" t="s">
        <v>4978</v>
      </c>
      <c r="D1198" s="2" t="s">
        <v>4979</v>
      </c>
      <c r="E1198" s="3">
        <v>42030</v>
      </c>
      <c r="F1198" s="2" t="s">
        <v>4980</v>
      </c>
      <c r="G1198" s="2"/>
      <c r="H1198" s="2" t="s">
        <v>2425</v>
      </c>
      <c r="I1198" s="2" t="s">
        <v>2426</v>
      </c>
      <c r="J1198" s="3">
        <v>42090</v>
      </c>
      <c r="K1198" s="2" t="str">
        <f>HYPERLINK("https://docs.wto.org/imrd/directdoc.asp?DDFDocuments/t/G/SPS/NCHN774.DOC")</f>
        <v>https://docs.wto.org/imrd/directdoc.asp?DDFDocuments/t/G/SPS/NCHN774.DOC</v>
      </c>
      <c r="L1198" s="2" t="str">
        <f>HYPERLINK("https://docs.wto.org/imrd/directdoc.asp?DDFDocuments/u/G/SPS/NCHN774.DOC")</f>
        <v>https://docs.wto.org/imrd/directdoc.asp?DDFDocuments/u/G/SPS/NCHN774.DOC</v>
      </c>
      <c r="M1198" s="2" t="str">
        <f>HYPERLINK("https://docs.wto.org/imrd/directdoc.asp?DDFDocuments/v/G/SPS/NCHN774.DOC")</f>
        <v>https://docs.wto.org/imrd/directdoc.asp?DDFDocuments/v/G/SPS/NCHN774.DOC</v>
      </c>
      <c r="N1198" s="2" t="str">
        <f>HYPERLINK("http://www.epingalert.org/#/details/G/SPS/N/CHN/774")</f>
        <v>http://www.epingalert.org/#/details/G/SPS/N/CHN/774</v>
      </c>
      <c r="O1198" s="2"/>
    </row>
    <row r="1199" spans="1:15" ht="240" customHeight="1" outlineLevel="1" x14ac:dyDescent="0.25">
      <c r="A1199" s="2" t="s">
        <v>380</v>
      </c>
      <c r="B1199" s="2" t="s">
        <v>4981</v>
      </c>
      <c r="C1199" s="2" t="s">
        <v>4982</v>
      </c>
      <c r="D1199" s="2" t="s">
        <v>4983</v>
      </c>
      <c r="E1199" s="3">
        <v>42030</v>
      </c>
      <c r="F1199" s="2" t="s">
        <v>4984</v>
      </c>
      <c r="G1199" s="2"/>
      <c r="H1199" s="2" t="s">
        <v>2425</v>
      </c>
      <c r="I1199" s="2" t="s">
        <v>2426</v>
      </c>
      <c r="J1199" s="3">
        <v>42090</v>
      </c>
      <c r="K1199" s="2" t="str">
        <f>HYPERLINK("https://docs.wto.org/imrd/directdoc.asp?DDFDocuments/t/G/SPS/NCHN773.DOC")</f>
        <v>https://docs.wto.org/imrd/directdoc.asp?DDFDocuments/t/G/SPS/NCHN773.DOC</v>
      </c>
      <c r="L1199" s="2" t="str">
        <f>HYPERLINK("https://docs.wto.org/imrd/directdoc.asp?DDFDocuments/u/G/SPS/NCHN773.DOC")</f>
        <v>https://docs.wto.org/imrd/directdoc.asp?DDFDocuments/u/G/SPS/NCHN773.DOC</v>
      </c>
      <c r="M1199" s="2" t="str">
        <f>HYPERLINK("https://docs.wto.org/imrd/directdoc.asp?DDFDocuments/v/G/SPS/NCHN773.DOC")</f>
        <v>https://docs.wto.org/imrd/directdoc.asp?DDFDocuments/v/G/SPS/NCHN773.DOC</v>
      </c>
      <c r="N1199" s="2" t="str">
        <f>HYPERLINK("http://www.epingalert.org/#/details/G/SPS/N/CHN/773")</f>
        <v>http://www.epingalert.org/#/details/G/SPS/N/CHN/773</v>
      </c>
      <c r="O1199" s="2"/>
    </row>
    <row r="1200" spans="1:15" ht="240" customHeight="1" outlineLevel="1" x14ac:dyDescent="0.25">
      <c r="A1200" s="2" t="s">
        <v>380</v>
      </c>
      <c r="B1200" s="2" t="s">
        <v>4985</v>
      </c>
      <c r="C1200" s="2" t="s">
        <v>4986</v>
      </c>
      <c r="D1200" s="2" t="s">
        <v>4987</v>
      </c>
      <c r="E1200" s="3">
        <v>42030</v>
      </c>
      <c r="F1200" s="2" t="s">
        <v>4988</v>
      </c>
      <c r="G1200" s="2"/>
      <c r="H1200" s="2" t="s">
        <v>2425</v>
      </c>
      <c r="I1200" s="2" t="s">
        <v>2426</v>
      </c>
      <c r="J1200" s="3">
        <v>42090</v>
      </c>
      <c r="K1200" s="2" t="str">
        <f>HYPERLINK("https://docs.wto.org/imrd/directdoc.asp?DDFDocuments/t/G/SPS/NCHN772.DOC")</f>
        <v>https://docs.wto.org/imrd/directdoc.asp?DDFDocuments/t/G/SPS/NCHN772.DOC</v>
      </c>
      <c r="L1200" s="2" t="str">
        <f>HYPERLINK("https://docs.wto.org/imrd/directdoc.asp?DDFDocuments/u/G/SPS/NCHN772.DOC")</f>
        <v>https://docs.wto.org/imrd/directdoc.asp?DDFDocuments/u/G/SPS/NCHN772.DOC</v>
      </c>
      <c r="M1200" s="2" t="str">
        <f>HYPERLINK("https://docs.wto.org/imrd/directdoc.asp?DDFDocuments/v/G/SPS/NCHN772.DOC")</f>
        <v>https://docs.wto.org/imrd/directdoc.asp?DDFDocuments/v/G/SPS/NCHN772.DOC</v>
      </c>
      <c r="N1200" s="2" t="str">
        <f>HYPERLINK("http://www.epingalert.org/#/details/G/SPS/N/CHN/772")</f>
        <v>http://www.epingalert.org/#/details/G/SPS/N/CHN/772</v>
      </c>
      <c r="O1200" s="2"/>
    </row>
    <row r="1201" spans="1:15" ht="240" customHeight="1" outlineLevel="1" x14ac:dyDescent="0.25">
      <c r="A1201" s="2" t="s">
        <v>380</v>
      </c>
      <c r="B1201" s="2" t="s">
        <v>4989</v>
      </c>
      <c r="C1201" s="2" t="s">
        <v>4990</v>
      </c>
      <c r="D1201" s="2" t="s">
        <v>4991</v>
      </c>
      <c r="E1201" s="3">
        <v>42030</v>
      </c>
      <c r="F1201" s="2" t="s">
        <v>4992</v>
      </c>
      <c r="G1201" s="2"/>
      <c r="H1201" s="2" t="s">
        <v>2425</v>
      </c>
      <c r="I1201" s="2" t="s">
        <v>2426</v>
      </c>
      <c r="J1201" s="3">
        <v>42090</v>
      </c>
      <c r="K1201" s="2" t="str">
        <f>HYPERLINK("https://docs.wto.org/imrd/directdoc.asp?DDFDocuments/t/G/SPS/NCHN771.DOC")</f>
        <v>https://docs.wto.org/imrd/directdoc.asp?DDFDocuments/t/G/SPS/NCHN771.DOC</v>
      </c>
      <c r="L1201" s="2" t="str">
        <f>HYPERLINK("https://docs.wto.org/imrd/directdoc.asp?DDFDocuments/u/G/SPS/NCHN771.DOC")</f>
        <v>https://docs.wto.org/imrd/directdoc.asp?DDFDocuments/u/G/SPS/NCHN771.DOC</v>
      </c>
      <c r="M1201" s="2" t="str">
        <f>HYPERLINK("https://docs.wto.org/imrd/directdoc.asp?DDFDocuments/v/G/SPS/NCHN771.DOC")</f>
        <v>https://docs.wto.org/imrd/directdoc.asp?DDFDocuments/v/G/SPS/NCHN771.DOC</v>
      </c>
      <c r="N1201" s="2" t="str">
        <f>HYPERLINK("http://www.epingalert.org/#/details/G/SPS/N/CHN/771")</f>
        <v>http://www.epingalert.org/#/details/G/SPS/N/CHN/771</v>
      </c>
      <c r="O1201" s="2"/>
    </row>
    <row r="1202" spans="1:15" ht="240" customHeight="1" outlineLevel="1" x14ac:dyDescent="0.25">
      <c r="A1202" s="2" t="s">
        <v>184</v>
      </c>
      <c r="B1202" s="2" t="s">
        <v>4858</v>
      </c>
      <c r="C1202" s="2"/>
      <c r="D1202" s="2"/>
      <c r="E1202" s="3">
        <v>42030</v>
      </c>
      <c r="F1202" s="2" t="s">
        <v>4859</v>
      </c>
      <c r="G1202" s="2"/>
      <c r="H1202" s="2" t="s">
        <v>4860</v>
      </c>
      <c r="I1202" s="2" t="s">
        <v>2784</v>
      </c>
      <c r="J1202" s="2"/>
      <c r="K1202" s="2" t="str">
        <f>HYPERLINK("https://docs.wto.org/imrd/directdoc.asp?DDFDocuments/t/G/SPS/NARE22A1.DOC")</f>
        <v>https://docs.wto.org/imrd/directdoc.asp?DDFDocuments/t/G/SPS/NARE22A1.DOC</v>
      </c>
      <c r="L1202" s="2" t="str">
        <f>HYPERLINK("https://docs.wto.org/imrd/directdoc.asp?DDFDocuments/u/G/SPS/NARE22A1.DOC")</f>
        <v>https://docs.wto.org/imrd/directdoc.asp?DDFDocuments/u/G/SPS/NARE22A1.DOC</v>
      </c>
      <c r="M1202" s="2" t="str">
        <f>HYPERLINK("https://docs.wto.org/imrd/directdoc.asp?DDFDocuments/v/G/SPS/NARE22A1.DOC")</f>
        <v>https://docs.wto.org/imrd/directdoc.asp?DDFDocuments/v/G/SPS/NARE22A1.DOC</v>
      </c>
      <c r="N1202" s="2" t="str">
        <f>HYPERLINK("http://www.epingalert.org/#/details/G/SPS/N/ARE/22/Add.1")</f>
        <v>http://www.epingalert.org/#/details/G/SPS/N/ARE/22/Add.1</v>
      </c>
      <c r="O1202" s="2"/>
    </row>
    <row r="1203" spans="1:15" ht="240" customHeight="1" outlineLevel="1" x14ac:dyDescent="0.25">
      <c r="A1203" s="2" t="s">
        <v>380</v>
      </c>
      <c r="B1203" s="2" t="s">
        <v>4993</v>
      </c>
      <c r="C1203" s="2" t="s">
        <v>4994</v>
      </c>
      <c r="D1203" s="2" t="s">
        <v>4995</v>
      </c>
      <c r="E1203" s="3">
        <v>42027</v>
      </c>
      <c r="F1203" s="2" t="s">
        <v>4996</v>
      </c>
      <c r="G1203" s="2"/>
      <c r="H1203" s="2" t="s">
        <v>2425</v>
      </c>
      <c r="I1203" s="2" t="s">
        <v>2426</v>
      </c>
      <c r="J1203" s="3">
        <v>42087</v>
      </c>
      <c r="K1203" s="2" t="str">
        <f>HYPERLINK("https://docs.wto.org/imrd/directdoc.asp?DDFDocuments/t/G/SPS/NCHN770.DOC")</f>
        <v>https://docs.wto.org/imrd/directdoc.asp?DDFDocuments/t/G/SPS/NCHN770.DOC</v>
      </c>
      <c r="L1203" s="2" t="str">
        <f>HYPERLINK("https://docs.wto.org/imrd/directdoc.asp?DDFDocuments/u/G/SPS/NCHN770.DOC")</f>
        <v>https://docs.wto.org/imrd/directdoc.asp?DDFDocuments/u/G/SPS/NCHN770.DOC</v>
      </c>
      <c r="M1203" s="2" t="str">
        <f>HYPERLINK("https://docs.wto.org/imrd/directdoc.asp?DDFDocuments/v/G/SPS/NCHN770.DOC")</f>
        <v>https://docs.wto.org/imrd/directdoc.asp?DDFDocuments/v/G/SPS/NCHN770.DOC</v>
      </c>
      <c r="N1203" s="2" t="str">
        <f>HYPERLINK("http://www.epingalert.org/#/details/G/SPS/N/CHN/770")</f>
        <v>http://www.epingalert.org/#/details/G/SPS/N/CHN/770</v>
      </c>
      <c r="O1203" s="2"/>
    </row>
    <row r="1204" spans="1:15" ht="240" customHeight="1" outlineLevel="1" x14ac:dyDescent="0.25">
      <c r="A1204" s="2" t="s">
        <v>380</v>
      </c>
      <c r="B1204" s="2" t="s">
        <v>4997</v>
      </c>
      <c r="C1204" s="2" t="s">
        <v>4998</v>
      </c>
      <c r="D1204" s="2" t="s">
        <v>4999</v>
      </c>
      <c r="E1204" s="3">
        <v>42027</v>
      </c>
      <c r="F1204" s="2" t="s">
        <v>5000</v>
      </c>
      <c r="G1204" s="2"/>
      <c r="H1204" s="2" t="s">
        <v>2425</v>
      </c>
      <c r="I1204" s="2" t="s">
        <v>2426</v>
      </c>
      <c r="J1204" s="3">
        <v>42087</v>
      </c>
      <c r="K1204" s="2" t="str">
        <f>HYPERLINK("https://docs.wto.org/imrd/directdoc.asp?DDFDocuments/t/G/SPS/NCHN769.DOC")</f>
        <v>https://docs.wto.org/imrd/directdoc.asp?DDFDocuments/t/G/SPS/NCHN769.DOC</v>
      </c>
      <c r="L1204" s="2" t="str">
        <f>HYPERLINK("https://docs.wto.org/imrd/directdoc.asp?DDFDocuments/u/G/SPS/NCHN769.DOC")</f>
        <v>https://docs.wto.org/imrd/directdoc.asp?DDFDocuments/u/G/SPS/NCHN769.DOC</v>
      </c>
      <c r="M1204" s="2" t="str">
        <f>HYPERLINK("https://docs.wto.org/imrd/directdoc.asp?DDFDocuments/v/G/SPS/NCHN769.DOC")</f>
        <v>https://docs.wto.org/imrd/directdoc.asp?DDFDocuments/v/G/SPS/NCHN769.DOC</v>
      </c>
      <c r="N1204" s="2" t="str">
        <f>HYPERLINK("http://www.epingalert.org/#/details/G/SPS/N/CHN/769")</f>
        <v>http://www.epingalert.org/#/details/G/SPS/N/CHN/769</v>
      </c>
      <c r="O1204" s="2"/>
    </row>
    <row r="1205" spans="1:15" ht="240" customHeight="1" outlineLevel="1" x14ac:dyDescent="0.25">
      <c r="A1205" s="2" t="s">
        <v>380</v>
      </c>
      <c r="B1205" s="2" t="s">
        <v>5001</v>
      </c>
      <c r="C1205" s="2" t="s">
        <v>5002</v>
      </c>
      <c r="D1205" s="2" t="s">
        <v>5003</v>
      </c>
      <c r="E1205" s="3">
        <v>42027</v>
      </c>
      <c r="F1205" s="2" t="s">
        <v>5004</v>
      </c>
      <c r="G1205" s="2"/>
      <c r="H1205" s="2" t="s">
        <v>2425</v>
      </c>
      <c r="I1205" s="2" t="s">
        <v>2426</v>
      </c>
      <c r="J1205" s="3">
        <v>42087</v>
      </c>
      <c r="K1205" s="2" t="str">
        <f>HYPERLINK("https://docs.wto.org/imrd/directdoc.asp?DDFDocuments/t/G/SPS/NCHN768.DOC")</f>
        <v>https://docs.wto.org/imrd/directdoc.asp?DDFDocuments/t/G/SPS/NCHN768.DOC</v>
      </c>
      <c r="L1205" s="2" t="str">
        <f>HYPERLINK("https://docs.wto.org/imrd/directdoc.asp?DDFDocuments/u/G/SPS/NCHN768.DOC")</f>
        <v>https://docs.wto.org/imrd/directdoc.asp?DDFDocuments/u/G/SPS/NCHN768.DOC</v>
      </c>
      <c r="M1205" s="2" t="str">
        <f>HYPERLINK("https://docs.wto.org/imrd/directdoc.asp?DDFDocuments/v/G/SPS/NCHN768.DOC")</f>
        <v>https://docs.wto.org/imrd/directdoc.asp?DDFDocuments/v/G/SPS/NCHN768.DOC</v>
      </c>
      <c r="N1205" s="2" t="str">
        <f>HYPERLINK("http://www.epingalert.org/#/details/G/SPS/N/CHN/768")</f>
        <v>http://www.epingalert.org/#/details/G/SPS/N/CHN/768</v>
      </c>
      <c r="O1205" s="2"/>
    </row>
    <row r="1206" spans="1:15" ht="240" customHeight="1" outlineLevel="1" x14ac:dyDescent="0.25">
      <c r="A1206" s="2" t="s">
        <v>380</v>
      </c>
      <c r="B1206" s="2" t="s">
        <v>5005</v>
      </c>
      <c r="C1206" s="2" t="s">
        <v>5006</v>
      </c>
      <c r="D1206" s="2" t="s">
        <v>5007</v>
      </c>
      <c r="E1206" s="3">
        <v>42027</v>
      </c>
      <c r="F1206" s="2" t="s">
        <v>5008</v>
      </c>
      <c r="G1206" s="2"/>
      <c r="H1206" s="2" t="s">
        <v>2425</v>
      </c>
      <c r="I1206" s="2" t="s">
        <v>2426</v>
      </c>
      <c r="J1206" s="3">
        <v>42087</v>
      </c>
      <c r="K1206" s="2" t="str">
        <f>HYPERLINK("https://docs.wto.org/imrd/directdoc.asp?DDFDocuments/t/G/SPS/NCHN767.DOC")</f>
        <v>https://docs.wto.org/imrd/directdoc.asp?DDFDocuments/t/G/SPS/NCHN767.DOC</v>
      </c>
      <c r="L1206" s="2" t="str">
        <f>HYPERLINK("https://docs.wto.org/imrd/directdoc.asp?DDFDocuments/u/G/SPS/NCHN767.DOC")</f>
        <v>https://docs.wto.org/imrd/directdoc.asp?DDFDocuments/u/G/SPS/NCHN767.DOC</v>
      </c>
      <c r="M1206" s="2" t="str">
        <f>HYPERLINK("https://docs.wto.org/imrd/directdoc.asp?DDFDocuments/v/G/SPS/NCHN767.DOC")</f>
        <v>https://docs.wto.org/imrd/directdoc.asp?DDFDocuments/v/G/SPS/NCHN767.DOC</v>
      </c>
      <c r="N1206" s="2" t="str">
        <f>HYPERLINK("http://www.epingalert.org/#/details/G/SPS/N/CHN/767")</f>
        <v>http://www.epingalert.org/#/details/G/SPS/N/CHN/767</v>
      </c>
      <c r="O1206" s="2"/>
    </row>
    <row r="1207" spans="1:15" ht="240" customHeight="1" outlineLevel="1" x14ac:dyDescent="0.25">
      <c r="A1207" s="2" t="s">
        <v>380</v>
      </c>
      <c r="B1207" s="2" t="s">
        <v>5009</v>
      </c>
      <c r="C1207" s="2" t="s">
        <v>5010</v>
      </c>
      <c r="D1207" s="2" t="s">
        <v>5011</v>
      </c>
      <c r="E1207" s="3">
        <v>42027</v>
      </c>
      <c r="F1207" s="2" t="s">
        <v>5012</v>
      </c>
      <c r="G1207" s="2"/>
      <c r="H1207" s="2" t="s">
        <v>2425</v>
      </c>
      <c r="I1207" s="2" t="s">
        <v>2426</v>
      </c>
      <c r="J1207" s="3">
        <v>42087</v>
      </c>
      <c r="K1207" s="2" t="str">
        <f>HYPERLINK("https://docs.wto.org/imrd/directdoc.asp?DDFDocuments/t/G/SPS/NCHN766.DOC")</f>
        <v>https://docs.wto.org/imrd/directdoc.asp?DDFDocuments/t/G/SPS/NCHN766.DOC</v>
      </c>
      <c r="L1207" s="2" t="str">
        <f>HYPERLINK("https://docs.wto.org/imrd/directdoc.asp?DDFDocuments/u/G/SPS/NCHN766.DOC")</f>
        <v>https://docs.wto.org/imrd/directdoc.asp?DDFDocuments/u/G/SPS/NCHN766.DOC</v>
      </c>
      <c r="M1207" s="2" t="str">
        <f>HYPERLINK("https://docs.wto.org/imrd/directdoc.asp?DDFDocuments/v/G/SPS/NCHN766.DOC")</f>
        <v>https://docs.wto.org/imrd/directdoc.asp?DDFDocuments/v/G/SPS/NCHN766.DOC</v>
      </c>
      <c r="N1207" s="2" t="str">
        <f>HYPERLINK("http://www.epingalert.org/#/details/G/SPS/N/CHN/766")</f>
        <v>http://www.epingalert.org/#/details/G/SPS/N/CHN/766</v>
      </c>
      <c r="O1207" s="2"/>
    </row>
    <row r="1208" spans="1:15" ht="240" customHeight="1" outlineLevel="1" x14ac:dyDescent="0.25">
      <c r="A1208" s="2" t="s">
        <v>380</v>
      </c>
      <c r="B1208" s="2" t="s">
        <v>5013</v>
      </c>
      <c r="C1208" s="2" t="s">
        <v>5014</v>
      </c>
      <c r="D1208" s="2" t="s">
        <v>5015</v>
      </c>
      <c r="E1208" s="3">
        <v>42027</v>
      </c>
      <c r="F1208" s="2" t="s">
        <v>5016</v>
      </c>
      <c r="G1208" s="2"/>
      <c r="H1208" s="2" t="s">
        <v>2425</v>
      </c>
      <c r="I1208" s="2" t="s">
        <v>2426</v>
      </c>
      <c r="J1208" s="3">
        <v>42087</v>
      </c>
      <c r="K1208" s="2" t="str">
        <f>HYPERLINK("https://docs.wto.org/imrd/directdoc.asp?DDFDocuments/t/G/SPS/NCHN765.DOC")</f>
        <v>https://docs.wto.org/imrd/directdoc.asp?DDFDocuments/t/G/SPS/NCHN765.DOC</v>
      </c>
      <c r="L1208" s="2" t="str">
        <f>HYPERLINK("https://docs.wto.org/imrd/directdoc.asp?DDFDocuments/u/G/SPS/NCHN765.DOC")</f>
        <v>https://docs.wto.org/imrd/directdoc.asp?DDFDocuments/u/G/SPS/NCHN765.DOC</v>
      </c>
      <c r="M1208" s="2" t="str">
        <f>HYPERLINK("https://docs.wto.org/imrd/directdoc.asp?DDFDocuments/v/G/SPS/NCHN765.DOC")</f>
        <v>https://docs.wto.org/imrd/directdoc.asp?DDFDocuments/v/G/SPS/NCHN765.DOC</v>
      </c>
      <c r="N1208" s="2" t="str">
        <f>HYPERLINK("http://www.epingalert.org/#/details/G/SPS/N/CHN/765")</f>
        <v>http://www.epingalert.org/#/details/G/SPS/N/CHN/765</v>
      </c>
      <c r="O1208" s="2"/>
    </row>
    <row r="1209" spans="1:15" ht="240" customHeight="1" outlineLevel="1" x14ac:dyDescent="0.25">
      <c r="A1209" s="2" t="s">
        <v>380</v>
      </c>
      <c r="B1209" s="2" t="s">
        <v>5017</v>
      </c>
      <c r="C1209" s="2" t="s">
        <v>5018</v>
      </c>
      <c r="D1209" s="2" t="s">
        <v>5019</v>
      </c>
      <c r="E1209" s="3">
        <v>42027</v>
      </c>
      <c r="F1209" s="2" t="s">
        <v>5020</v>
      </c>
      <c r="G1209" s="2"/>
      <c r="H1209" s="2" t="s">
        <v>2425</v>
      </c>
      <c r="I1209" s="2" t="s">
        <v>2426</v>
      </c>
      <c r="J1209" s="3">
        <v>42087</v>
      </c>
      <c r="K1209" s="2" t="str">
        <f>HYPERLINK("https://docs.wto.org/imrd/directdoc.asp?DDFDocuments/t/G/SPS/NCHN764.DOC")</f>
        <v>https://docs.wto.org/imrd/directdoc.asp?DDFDocuments/t/G/SPS/NCHN764.DOC</v>
      </c>
      <c r="L1209" s="2" t="str">
        <f>HYPERLINK("https://docs.wto.org/imrd/directdoc.asp?DDFDocuments/u/G/SPS/NCHN764.DOC")</f>
        <v>https://docs.wto.org/imrd/directdoc.asp?DDFDocuments/u/G/SPS/NCHN764.DOC</v>
      </c>
      <c r="M1209" s="2" t="str">
        <f>HYPERLINK("https://docs.wto.org/imrd/directdoc.asp?DDFDocuments/v/G/SPS/NCHN764.DOC")</f>
        <v>https://docs.wto.org/imrd/directdoc.asp?DDFDocuments/v/G/SPS/NCHN764.DOC</v>
      </c>
      <c r="N1209" s="2" t="str">
        <f>HYPERLINK("http://www.epingalert.org/#/details/G/SPS/N/CHN/764")</f>
        <v>http://www.epingalert.org/#/details/G/SPS/N/CHN/764</v>
      </c>
      <c r="O1209" s="2"/>
    </row>
    <row r="1210" spans="1:15" ht="240" customHeight="1" outlineLevel="1" x14ac:dyDescent="0.25">
      <c r="A1210" s="2" t="s">
        <v>380</v>
      </c>
      <c r="B1210" s="2" t="s">
        <v>5021</v>
      </c>
      <c r="C1210" s="2" t="s">
        <v>5022</v>
      </c>
      <c r="D1210" s="2" t="s">
        <v>5023</v>
      </c>
      <c r="E1210" s="3">
        <v>42027</v>
      </c>
      <c r="F1210" s="2" t="s">
        <v>5024</v>
      </c>
      <c r="G1210" s="2"/>
      <c r="H1210" s="2" t="s">
        <v>2425</v>
      </c>
      <c r="I1210" s="2" t="s">
        <v>2426</v>
      </c>
      <c r="J1210" s="3">
        <v>42087</v>
      </c>
      <c r="K1210" s="2" t="str">
        <f>HYPERLINK("https://docs.wto.org/imrd/directdoc.asp?DDFDocuments/t/G/SPS/NCHN763.DOC")</f>
        <v>https://docs.wto.org/imrd/directdoc.asp?DDFDocuments/t/G/SPS/NCHN763.DOC</v>
      </c>
      <c r="L1210" s="2" t="str">
        <f>HYPERLINK("https://docs.wto.org/imrd/directdoc.asp?DDFDocuments/u/G/SPS/NCHN763.DOC")</f>
        <v>https://docs.wto.org/imrd/directdoc.asp?DDFDocuments/u/G/SPS/NCHN763.DOC</v>
      </c>
      <c r="M1210" s="2" t="str">
        <f>HYPERLINK("https://docs.wto.org/imrd/directdoc.asp?DDFDocuments/v/G/SPS/NCHN763.DOC")</f>
        <v>https://docs.wto.org/imrd/directdoc.asp?DDFDocuments/v/G/SPS/NCHN763.DOC</v>
      </c>
      <c r="N1210" s="2" t="str">
        <f>HYPERLINK("http://www.epingalert.org/#/details/G/SPS/N/CHN/763")</f>
        <v>http://www.epingalert.org/#/details/G/SPS/N/CHN/763</v>
      </c>
      <c r="O1210" s="2"/>
    </row>
    <row r="1211" spans="1:15" ht="240" customHeight="1" outlineLevel="1" x14ac:dyDescent="0.25">
      <c r="A1211" s="2" t="s">
        <v>380</v>
      </c>
      <c r="B1211" s="2" t="s">
        <v>5027</v>
      </c>
      <c r="C1211" s="2" t="s">
        <v>5028</v>
      </c>
      <c r="D1211" s="2" t="s">
        <v>5029</v>
      </c>
      <c r="E1211" s="3">
        <v>42026</v>
      </c>
      <c r="F1211" s="2" t="s">
        <v>5030</v>
      </c>
      <c r="G1211" s="2"/>
      <c r="H1211" s="2" t="s">
        <v>2425</v>
      </c>
      <c r="I1211" s="2" t="s">
        <v>2426</v>
      </c>
      <c r="J1211" s="3">
        <v>42086</v>
      </c>
      <c r="K1211" s="2" t="str">
        <f>HYPERLINK("https://docs.wto.org/imrd/directdoc.asp?DDFDocuments/t/G/SPS/NCHN762.DOC")</f>
        <v>https://docs.wto.org/imrd/directdoc.asp?DDFDocuments/t/G/SPS/NCHN762.DOC</v>
      </c>
      <c r="L1211" s="2" t="str">
        <f>HYPERLINK("https://docs.wto.org/imrd/directdoc.asp?DDFDocuments/u/G/SPS/NCHN762.DOC")</f>
        <v>https://docs.wto.org/imrd/directdoc.asp?DDFDocuments/u/G/SPS/NCHN762.DOC</v>
      </c>
      <c r="M1211" s="2" t="str">
        <f>HYPERLINK("https://docs.wto.org/imrd/directdoc.asp?DDFDocuments/v/G/SPS/NCHN762.DOC")</f>
        <v>https://docs.wto.org/imrd/directdoc.asp?DDFDocuments/v/G/SPS/NCHN762.DOC</v>
      </c>
      <c r="N1211" s="2" t="str">
        <f>HYPERLINK("http://www.epingalert.org/#/details/G/SPS/N/CHN/762")</f>
        <v>http://www.epingalert.org/#/details/G/SPS/N/CHN/762</v>
      </c>
      <c r="O1211" s="2"/>
    </row>
    <row r="1212" spans="1:15" ht="240" customHeight="1" outlineLevel="1" x14ac:dyDescent="0.25">
      <c r="A1212" s="2" t="s">
        <v>380</v>
      </c>
      <c r="B1212" s="2" t="s">
        <v>5031</v>
      </c>
      <c r="C1212" s="2" t="s">
        <v>5032</v>
      </c>
      <c r="D1212" s="2" t="s">
        <v>5033</v>
      </c>
      <c r="E1212" s="3">
        <v>42026</v>
      </c>
      <c r="F1212" s="2" t="s">
        <v>5034</v>
      </c>
      <c r="G1212" s="2"/>
      <c r="H1212" s="2" t="s">
        <v>2425</v>
      </c>
      <c r="I1212" s="2" t="s">
        <v>2426</v>
      </c>
      <c r="J1212" s="3">
        <v>42086</v>
      </c>
      <c r="K1212" s="2" t="str">
        <f>HYPERLINK("https://docs.wto.org/imrd/directdoc.asp?DDFDocuments/t/G/SPS/NCHN761.DOC")</f>
        <v>https://docs.wto.org/imrd/directdoc.asp?DDFDocuments/t/G/SPS/NCHN761.DOC</v>
      </c>
      <c r="L1212" s="2" t="str">
        <f>HYPERLINK("https://docs.wto.org/imrd/directdoc.asp?DDFDocuments/u/G/SPS/NCHN761.DOC")</f>
        <v>https://docs.wto.org/imrd/directdoc.asp?DDFDocuments/u/G/SPS/NCHN761.DOC</v>
      </c>
      <c r="M1212" s="2" t="str">
        <f>HYPERLINK("https://docs.wto.org/imrd/directdoc.asp?DDFDocuments/v/G/SPS/NCHN761.DOC")</f>
        <v>https://docs.wto.org/imrd/directdoc.asp?DDFDocuments/v/G/SPS/NCHN761.DOC</v>
      </c>
      <c r="N1212" s="2" t="str">
        <f>HYPERLINK("http://www.epingalert.org/#/details/G/SPS/N/CHN/761")</f>
        <v>http://www.epingalert.org/#/details/G/SPS/N/CHN/761</v>
      </c>
      <c r="O1212" s="2"/>
    </row>
    <row r="1213" spans="1:15" ht="240" customHeight="1" outlineLevel="1" x14ac:dyDescent="0.25">
      <c r="A1213" s="2" t="s">
        <v>380</v>
      </c>
      <c r="B1213" s="2" t="s">
        <v>5035</v>
      </c>
      <c r="C1213" s="2" t="s">
        <v>5036</v>
      </c>
      <c r="D1213" s="2" t="s">
        <v>5037</v>
      </c>
      <c r="E1213" s="3">
        <v>42026</v>
      </c>
      <c r="F1213" s="2" t="s">
        <v>5038</v>
      </c>
      <c r="G1213" s="2"/>
      <c r="H1213" s="2" t="s">
        <v>2425</v>
      </c>
      <c r="I1213" s="2" t="s">
        <v>2426</v>
      </c>
      <c r="J1213" s="3">
        <v>42086</v>
      </c>
      <c r="K1213" s="2" t="str">
        <f>HYPERLINK("https://docs.wto.org/imrd/directdoc.asp?DDFDocuments/t/G/SPS/NCHN760.DOC")</f>
        <v>https://docs.wto.org/imrd/directdoc.asp?DDFDocuments/t/G/SPS/NCHN760.DOC</v>
      </c>
      <c r="L1213" s="2" t="str">
        <f>HYPERLINK("https://docs.wto.org/imrd/directdoc.asp?DDFDocuments/u/G/SPS/NCHN760.DOC")</f>
        <v>https://docs.wto.org/imrd/directdoc.asp?DDFDocuments/u/G/SPS/NCHN760.DOC</v>
      </c>
      <c r="M1213" s="2" t="str">
        <f>HYPERLINK("https://docs.wto.org/imrd/directdoc.asp?DDFDocuments/v/G/SPS/NCHN760.DOC")</f>
        <v>https://docs.wto.org/imrd/directdoc.asp?DDFDocuments/v/G/SPS/NCHN760.DOC</v>
      </c>
      <c r="N1213" s="2" t="str">
        <f>HYPERLINK("http://www.epingalert.org/#/details/G/SPS/N/CHN/760")</f>
        <v>http://www.epingalert.org/#/details/G/SPS/N/CHN/760</v>
      </c>
      <c r="O1213" s="2"/>
    </row>
    <row r="1214" spans="1:15" ht="240" customHeight="1" outlineLevel="1" x14ac:dyDescent="0.25">
      <c r="A1214" s="2" t="s">
        <v>380</v>
      </c>
      <c r="B1214" s="2" t="s">
        <v>5039</v>
      </c>
      <c r="C1214" s="2" t="s">
        <v>5040</v>
      </c>
      <c r="D1214" s="2" t="s">
        <v>5041</v>
      </c>
      <c r="E1214" s="3">
        <v>42026</v>
      </c>
      <c r="F1214" s="2" t="s">
        <v>5042</v>
      </c>
      <c r="G1214" s="2"/>
      <c r="H1214" s="2" t="s">
        <v>2425</v>
      </c>
      <c r="I1214" s="2" t="s">
        <v>2426</v>
      </c>
      <c r="J1214" s="3">
        <v>42086</v>
      </c>
      <c r="K1214" s="2" t="str">
        <f>HYPERLINK("https://docs.wto.org/imrd/directdoc.asp?DDFDocuments/t/G/SPS/NCHN759.DOC")</f>
        <v>https://docs.wto.org/imrd/directdoc.asp?DDFDocuments/t/G/SPS/NCHN759.DOC</v>
      </c>
      <c r="L1214" s="2" t="str">
        <f>HYPERLINK("https://docs.wto.org/imrd/directdoc.asp?DDFDocuments/u/G/SPS/NCHN759.DOC")</f>
        <v>https://docs.wto.org/imrd/directdoc.asp?DDFDocuments/u/G/SPS/NCHN759.DOC</v>
      </c>
      <c r="M1214" s="2" t="str">
        <f>HYPERLINK("https://docs.wto.org/imrd/directdoc.asp?DDFDocuments/v/G/SPS/NCHN759.DOC")</f>
        <v>https://docs.wto.org/imrd/directdoc.asp?DDFDocuments/v/G/SPS/NCHN759.DOC</v>
      </c>
      <c r="N1214" s="2" t="str">
        <f>HYPERLINK("http://www.epingalert.org/#/details/G/SPS/N/CHN/759")</f>
        <v>http://www.epingalert.org/#/details/G/SPS/N/CHN/759</v>
      </c>
      <c r="O1214" s="2"/>
    </row>
    <row r="1215" spans="1:15" ht="240" customHeight="1" outlineLevel="1" x14ac:dyDescent="0.25">
      <c r="A1215" s="2" t="s">
        <v>380</v>
      </c>
      <c r="B1215" s="2" t="s">
        <v>5043</v>
      </c>
      <c r="C1215" s="2" t="s">
        <v>5044</v>
      </c>
      <c r="D1215" s="2" t="s">
        <v>5045</v>
      </c>
      <c r="E1215" s="3">
        <v>42026</v>
      </c>
      <c r="F1215" s="2" t="s">
        <v>5046</v>
      </c>
      <c r="G1215" s="2"/>
      <c r="H1215" s="2" t="s">
        <v>2425</v>
      </c>
      <c r="I1215" s="2" t="s">
        <v>2426</v>
      </c>
      <c r="J1215" s="3">
        <v>42086</v>
      </c>
      <c r="K1215" s="2" t="str">
        <f>HYPERLINK("https://docs.wto.org/imrd/directdoc.asp?DDFDocuments/t/G/SPS/NCHN758.DOC")</f>
        <v>https://docs.wto.org/imrd/directdoc.asp?DDFDocuments/t/G/SPS/NCHN758.DOC</v>
      </c>
      <c r="L1215" s="2" t="str">
        <f>HYPERLINK("https://docs.wto.org/imrd/directdoc.asp?DDFDocuments/u/G/SPS/NCHN758.DOC")</f>
        <v>https://docs.wto.org/imrd/directdoc.asp?DDFDocuments/u/G/SPS/NCHN758.DOC</v>
      </c>
      <c r="M1215" s="2" t="str">
        <f>HYPERLINK("https://docs.wto.org/imrd/directdoc.asp?DDFDocuments/v/G/SPS/NCHN758.DOC")</f>
        <v>https://docs.wto.org/imrd/directdoc.asp?DDFDocuments/v/G/SPS/NCHN758.DOC</v>
      </c>
      <c r="N1215" s="2" t="str">
        <f>HYPERLINK("http://www.epingalert.org/#/details/G/SPS/N/CHN/758")</f>
        <v>http://www.epingalert.org/#/details/G/SPS/N/CHN/758</v>
      </c>
      <c r="O1215" s="2"/>
    </row>
    <row r="1216" spans="1:15" ht="240" customHeight="1" outlineLevel="1" x14ac:dyDescent="0.25">
      <c r="A1216" s="2" t="s">
        <v>380</v>
      </c>
      <c r="B1216" s="2" t="s">
        <v>5047</v>
      </c>
      <c r="C1216" s="2" t="s">
        <v>5048</v>
      </c>
      <c r="D1216" s="2" t="s">
        <v>5049</v>
      </c>
      <c r="E1216" s="3">
        <v>42026</v>
      </c>
      <c r="F1216" s="2" t="s">
        <v>5050</v>
      </c>
      <c r="G1216" s="2"/>
      <c r="H1216" s="2" t="s">
        <v>2425</v>
      </c>
      <c r="I1216" s="2" t="s">
        <v>2426</v>
      </c>
      <c r="J1216" s="3">
        <v>42086</v>
      </c>
      <c r="K1216" s="2" t="str">
        <f>HYPERLINK("https://docs.wto.org/imrd/directdoc.asp?DDFDocuments/t/G/SPS/NCHN757.DOC")</f>
        <v>https://docs.wto.org/imrd/directdoc.asp?DDFDocuments/t/G/SPS/NCHN757.DOC</v>
      </c>
      <c r="L1216" s="2" t="str">
        <f>HYPERLINK("https://docs.wto.org/imrd/directdoc.asp?DDFDocuments/u/G/SPS/NCHN757.DOC")</f>
        <v>https://docs.wto.org/imrd/directdoc.asp?DDFDocuments/u/G/SPS/NCHN757.DOC</v>
      </c>
      <c r="M1216" s="2" t="str">
        <f>HYPERLINK("https://docs.wto.org/imrd/directdoc.asp?DDFDocuments/v/G/SPS/NCHN757.DOC")</f>
        <v>https://docs.wto.org/imrd/directdoc.asp?DDFDocuments/v/G/SPS/NCHN757.DOC</v>
      </c>
      <c r="N1216" s="2" t="str">
        <f>HYPERLINK("http://www.epingalert.org/#/details/G/SPS/N/CHN/757")</f>
        <v>http://www.epingalert.org/#/details/G/SPS/N/CHN/757</v>
      </c>
      <c r="O1216" s="2"/>
    </row>
    <row r="1217" spans="1:15" ht="240" customHeight="1" outlineLevel="1" x14ac:dyDescent="0.25">
      <c r="A1217" s="2" t="s">
        <v>380</v>
      </c>
      <c r="B1217" s="2" t="s">
        <v>5051</v>
      </c>
      <c r="C1217" s="2" t="s">
        <v>5052</v>
      </c>
      <c r="D1217" s="2" t="s">
        <v>5053</v>
      </c>
      <c r="E1217" s="3">
        <v>42026</v>
      </c>
      <c r="F1217" s="2" t="s">
        <v>5054</v>
      </c>
      <c r="G1217" s="2"/>
      <c r="H1217" s="2" t="s">
        <v>2425</v>
      </c>
      <c r="I1217" s="2" t="s">
        <v>2426</v>
      </c>
      <c r="J1217" s="3">
        <v>42086</v>
      </c>
      <c r="K1217" s="2" t="str">
        <f>HYPERLINK("https://docs.wto.org/imrd/directdoc.asp?DDFDocuments/t/G/SPS/NCHN756.DOC")</f>
        <v>https://docs.wto.org/imrd/directdoc.asp?DDFDocuments/t/G/SPS/NCHN756.DOC</v>
      </c>
      <c r="L1217" s="2" t="str">
        <f>HYPERLINK("https://docs.wto.org/imrd/directdoc.asp?DDFDocuments/u/G/SPS/NCHN756.DOC")</f>
        <v>https://docs.wto.org/imrd/directdoc.asp?DDFDocuments/u/G/SPS/NCHN756.DOC</v>
      </c>
      <c r="M1217" s="2" t="str">
        <f>HYPERLINK("https://docs.wto.org/imrd/directdoc.asp?DDFDocuments/v/G/SPS/NCHN756.DOC")</f>
        <v>https://docs.wto.org/imrd/directdoc.asp?DDFDocuments/v/G/SPS/NCHN756.DOC</v>
      </c>
      <c r="N1217" s="2" t="str">
        <f>HYPERLINK("http://www.epingalert.org/#/details/G/SPS/N/CHN/756")</f>
        <v>http://www.epingalert.org/#/details/G/SPS/N/CHN/756</v>
      </c>
      <c r="O1217" s="2"/>
    </row>
    <row r="1218" spans="1:15" ht="240" customHeight="1" outlineLevel="1" x14ac:dyDescent="0.25">
      <c r="A1218" s="2" t="s">
        <v>380</v>
      </c>
      <c r="B1218" s="2" t="s">
        <v>5055</v>
      </c>
      <c r="C1218" s="2" t="s">
        <v>5056</v>
      </c>
      <c r="D1218" s="2" t="s">
        <v>5057</v>
      </c>
      <c r="E1218" s="3">
        <v>42026</v>
      </c>
      <c r="F1218" s="2" t="s">
        <v>5058</v>
      </c>
      <c r="G1218" s="2"/>
      <c r="H1218" s="2" t="s">
        <v>2425</v>
      </c>
      <c r="I1218" s="2" t="s">
        <v>2426</v>
      </c>
      <c r="J1218" s="3">
        <v>42086</v>
      </c>
      <c r="K1218" s="2" t="str">
        <f>HYPERLINK("https://docs.wto.org/imrd/directdoc.asp?DDFDocuments/t/G/SPS/NCHN755.DOC")</f>
        <v>https://docs.wto.org/imrd/directdoc.asp?DDFDocuments/t/G/SPS/NCHN755.DOC</v>
      </c>
      <c r="L1218" s="2" t="str">
        <f>HYPERLINK("https://docs.wto.org/imrd/directdoc.asp?DDFDocuments/u/G/SPS/NCHN755.DOC")</f>
        <v>https://docs.wto.org/imrd/directdoc.asp?DDFDocuments/u/G/SPS/NCHN755.DOC</v>
      </c>
      <c r="M1218" s="2" t="str">
        <f>HYPERLINK("https://docs.wto.org/imrd/directdoc.asp?DDFDocuments/v/G/SPS/NCHN755.DOC")</f>
        <v>https://docs.wto.org/imrd/directdoc.asp?DDFDocuments/v/G/SPS/NCHN755.DOC</v>
      </c>
      <c r="N1218" s="2" t="str">
        <f>HYPERLINK("http://www.epingalert.org/#/details/G/SPS/N/CHN/755")</f>
        <v>http://www.epingalert.org/#/details/G/SPS/N/CHN/755</v>
      </c>
      <c r="O1218" s="2"/>
    </row>
    <row r="1219" spans="1:15" ht="240" customHeight="1" outlineLevel="1" x14ac:dyDescent="0.25">
      <c r="A1219" s="2" t="s">
        <v>380</v>
      </c>
      <c r="B1219" s="2" t="s">
        <v>5059</v>
      </c>
      <c r="C1219" s="2" t="s">
        <v>5060</v>
      </c>
      <c r="D1219" s="2" t="s">
        <v>5061</v>
      </c>
      <c r="E1219" s="3">
        <v>42026</v>
      </c>
      <c r="F1219" s="2" t="s">
        <v>5062</v>
      </c>
      <c r="G1219" s="2"/>
      <c r="H1219" s="2" t="s">
        <v>2425</v>
      </c>
      <c r="I1219" s="2" t="s">
        <v>2426</v>
      </c>
      <c r="J1219" s="3">
        <v>42086</v>
      </c>
      <c r="K1219" s="2" t="str">
        <f>HYPERLINK("https://docs.wto.org/imrd/directdoc.asp?DDFDocuments/t/G/SPS/NCHN754.DOC")</f>
        <v>https://docs.wto.org/imrd/directdoc.asp?DDFDocuments/t/G/SPS/NCHN754.DOC</v>
      </c>
      <c r="L1219" s="2" t="str">
        <f>HYPERLINK("https://docs.wto.org/imrd/directdoc.asp?DDFDocuments/u/G/SPS/NCHN754.DOC")</f>
        <v>https://docs.wto.org/imrd/directdoc.asp?DDFDocuments/u/G/SPS/NCHN754.DOC</v>
      </c>
      <c r="M1219" s="2" t="str">
        <f>HYPERLINK("https://docs.wto.org/imrd/directdoc.asp?DDFDocuments/v/G/SPS/NCHN754.DOC")</f>
        <v>https://docs.wto.org/imrd/directdoc.asp?DDFDocuments/v/G/SPS/NCHN754.DOC</v>
      </c>
      <c r="N1219" s="2" t="str">
        <f>HYPERLINK("http://www.epingalert.org/#/details/G/SPS/N/CHN/754")</f>
        <v>http://www.epingalert.org/#/details/G/SPS/N/CHN/754</v>
      </c>
      <c r="O1219" s="2"/>
    </row>
    <row r="1220" spans="1:15" ht="240" customHeight="1" outlineLevel="1" x14ac:dyDescent="0.25">
      <c r="A1220" s="2" t="s">
        <v>380</v>
      </c>
      <c r="B1220" s="2" t="s">
        <v>5063</v>
      </c>
      <c r="C1220" s="2" t="s">
        <v>5064</v>
      </c>
      <c r="D1220" s="2" t="s">
        <v>5065</v>
      </c>
      <c r="E1220" s="3">
        <v>42026</v>
      </c>
      <c r="F1220" s="2" t="s">
        <v>5066</v>
      </c>
      <c r="G1220" s="2"/>
      <c r="H1220" s="2" t="s">
        <v>2425</v>
      </c>
      <c r="I1220" s="2" t="s">
        <v>2426</v>
      </c>
      <c r="J1220" s="3">
        <v>42086</v>
      </c>
      <c r="K1220" s="2" t="str">
        <f>HYPERLINK("https://docs.wto.org/imrd/directdoc.asp?DDFDocuments/t/G/SPS/NCHN753.DOC")</f>
        <v>https://docs.wto.org/imrd/directdoc.asp?DDFDocuments/t/G/SPS/NCHN753.DOC</v>
      </c>
      <c r="L1220" s="2" t="str">
        <f>HYPERLINK("https://docs.wto.org/imrd/directdoc.asp?DDFDocuments/u/G/SPS/NCHN753.DOC")</f>
        <v>https://docs.wto.org/imrd/directdoc.asp?DDFDocuments/u/G/SPS/NCHN753.DOC</v>
      </c>
      <c r="M1220" s="2" t="str">
        <f>HYPERLINK("https://docs.wto.org/imrd/directdoc.asp?DDFDocuments/v/G/SPS/NCHN753.DOC")</f>
        <v>https://docs.wto.org/imrd/directdoc.asp?DDFDocuments/v/G/SPS/NCHN753.DOC</v>
      </c>
      <c r="N1220" s="2" t="str">
        <f>HYPERLINK("http://www.epingalert.org/#/details/G/SPS/N/CHN/753")</f>
        <v>http://www.epingalert.org/#/details/G/SPS/N/CHN/753</v>
      </c>
      <c r="O1220" s="2"/>
    </row>
    <row r="1221" spans="1:15" ht="240" customHeight="1" outlineLevel="1" x14ac:dyDescent="0.25">
      <c r="A1221" s="2" t="s">
        <v>380</v>
      </c>
      <c r="B1221" s="2" t="s">
        <v>5067</v>
      </c>
      <c r="C1221" s="2" t="s">
        <v>5068</v>
      </c>
      <c r="D1221" s="2" t="s">
        <v>5069</v>
      </c>
      <c r="E1221" s="3">
        <v>42026</v>
      </c>
      <c r="F1221" s="2" t="s">
        <v>5070</v>
      </c>
      <c r="G1221" s="2"/>
      <c r="H1221" s="2" t="s">
        <v>2425</v>
      </c>
      <c r="I1221" s="2" t="s">
        <v>2426</v>
      </c>
      <c r="J1221" s="3">
        <v>42086</v>
      </c>
      <c r="K1221" s="2" t="str">
        <f>HYPERLINK("https://docs.wto.org/imrd/directdoc.asp?DDFDocuments/t/G/SPS/NCHN752.DOC")</f>
        <v>https://docs.wto.org/imrd/directdoc.asp?DDFDocuments/t/G/SPS/NCHN752.DOC</v>
      </c>
      <c r="L1221" s="2" t="str">
        <f>HYPERLINK("https://docs.wto.org/imrd/directdoc.asp?DDFDocuments/u/G/SPS/NCHN752.DOC")</f>
        <v>https://docs.wto.org/imrd/directdoc.asp?DDFDocuments/u/G/SPS/NCHN752.DOC</v>
      </c>
      <c r="M1221" s="2" t="str">
        <f>HYPERLINK("https://docs.wto.org/imrd/directdoc.asp?DDFDocuments/v/G/SPS/NCHN752.DOC")</f>
        <v>https://docs.wto.org/imrd/directdoc.asp?DDFDocuments/v/G/SPS/NCHN752.DOC</v>
      </c>
      <c r="N1221" s="2" t="str">
        <f>HYPERLINK("http://www.epingalert.org/#/details/G/SPS/N/CHN/752")</f>
        <v>http://www.epingalert.org/#/details/G/SPS/N/CHN/752</v>
      </c>
      <c r="O1221" s="2"/>
    </row>
    <row r="1222" spans="1:15" ht="240" customHeight="1" outlineLevel="1" x14ac:dyDescent="0.25">
      <c r="A1222" s="2" t="s">
        <v>380</v>
      </c>
      <c r="B1222" s="2" t="s">
        <v>5071</v>
      </c>
      <c r="C1222" s="2" t="s">
        <v>5072</v>
      </c>
      <c r="D1222" s="2" t="s">
        <v>5073</v>
      </c>
      <c r="E1222" s="3">
        <v>42026</v>
      </c>
      <c r="F1222" s="2" t="s">
        <v>5074</v>
      </c>
      <c r="G1222" s="2"/>
      <c r="H1222" s="2" t="s">
        <v>2425</v>
      </c>
      <c r="I1222" s="2" t="s">
        <v>2426</v>
      </c>
      <c r="J1222" s="3">
        <v>42086</v>
      </c>
      <c r="K1222" s="2" t="str">
        <f>HYPERLINK("https://docs.wto.org/imrd/directdoc.asp?DDFDocuments/t/G/SPS/NCHN751.DOC")</f>
        <v>https://docs.wto.org/imrd/directdoc.asp?DDFDocuments/t/G/SPS/NCHN751.DOC</v>
      </c>
      <c r="L1222" s="2" t="str">
        <f>HYPERLINK("https://docs.wto.org/imrd/directdoc.asp?DDFDocuments/u/G/SPS/NCHN751.DOC")</f>
        <v>https://docs.wto.org/imrd/directdoc.asp?DDFDocuments/u/G/SPS/NCHN751.DOC</v>
      </c>
      <c r="M1222" s="2" t="str">
        <f>HYPERLINK("https://docs.wto.org/imrd/directdoc.asp?DDFDocuments/v/G/SPS/NCHN751.DOC")</f>
        <v>https://docs.wto.org/imrd/directdoc.asp?DDFDocuments/v/G/SPS/NCHN751.DOC</v>
      </c>
      <c r="N1222" s="2" t="str">
        <f>HYPERLINK("http://www.epingalert.org/#/details/G/SPS/N/CHN/751")</f>
        <v>http://www.epingalert.org/#/details/G/SPS/N/CHN/751</v>
      </c>
      <c r="O1222" s="2"/>
    </row>
    <row r="1223" spans="1:15" ht="240" customHeight="1" outlineLevel="1" x14ac:dyDescent="0.25">
      <c r="A1223" s="2" t="s">
        <v>1908</v>
      </c>
      <c r="B1223" s="2" t="s">
        <v>7941</v>
      </c>
      <c r="C1223" s="2"/>
      <c r="D1223" s="2"/>
      <c r="E1223" s="3">
        <v>42026</v>
      </c>
      <c r="F1223" s="2" t="s">
        <v>7942</v>
      </c>
      <c r="G1223" s="2" t="s">
        <v>7943</v>
      </c>
      <c r="H1223" s="2" t="s">
        <v>2648</v>
      </c>
      <c r="I1223" s="2" t="s">
        <v>2672</v>
      </c>
      <c r="J1223" s="3">
        <v>42051</v>
      </c>
      <c r="K1223" s="2" t="str">
        <f>HYPERLINK("https://docs.wto.org/imrd/directdoc.asp?DDFDocuments/t/G/SPS/NCAN244R2A1.DOC")</f>
        <v>https://docs.wto.org/imrd/directdoc.asp?DDFDocuments/t/G/SPS/NCAN244R2A1.DOC</v>
      </c>
      <c r="L1223" s="2" t="str">
        <f>HYPERLINK("https://docs.wto.org/imrd/directdoc.asp?DDFDocuments/u/G/SPS/NCAN244R2A1.DOC")</f>
        <v>https://docs.wto.org/imrd/directdoc.asp?DDFDocuments/u/G/SPS/NCAN244R2A1.DOC</v>
      </c>
      <c r="M1223" s="2" t="str">
        <f>HYPERLINK("https://docs.wto.org/imrd/directdoc.asp?DDFDocuments/v/G/SPS/NCAN244R2A1.DOC")</f>
        <v>https://docs.wto.org/imrd/directdoc.asp?DDFDocuments/v/G/SPS/NCAN244R2A1.DOC</v>
      </c>
      <c r="N1223" s="2" t="str">
        <f>HYPERLINK("http://www.epingalert.org/#/details/G/SPS/N/CAN/244/Rev.2/Add.1")</f>
        <v>http://www.epingalert.org/#/details/G/SPS/N/CAN/244/Rev.2/Add.1</v>
      </c>
      <c r="O1223" s="2"/>
    </row>
    <row r="1224" spans="1:15" ht="240" customHeight="1" outlineLevel="1" x14ac:dyDescent="0.25">
      <c r="A1224" s="2" t="s">
        <v>1908</v>
      </c>
      <c r="B1224" s="2" t="s">
        <v>5025</v>
      </c>
      <c r="C1224" s="2"/>
      <c r="D1224" s="2"/>
      <c r="E1224" s="3">
        <v>42026</v>
      </c>
      <c r="F1224" s="2" t="s">
        <v>2498</v>
      </c>
      <c r="G1224" s="2"/>
      <c r="H1224" s="2" t="s">
        <v>2425</v>
      </c>
      <c r="I1224" s="2" t="s">
        <v>2672</v>
      </c>
      <c r="J1224" s="3">
        <v>42050</v>
      </c>
      <c r="K1224" s="2" t="str">
        <f>HYPERLINK("https://docs.wto.org/imrd/directdoc.asp?DDFDocuments/t/G/SPS/NCAN896A1.DOC")</f>
        <v>https://docs.wto.org/imrd/directdoc.asp?DDFDocuments/t/G/SPS/NCAN896A1.DOC</v>
      </c>
      <c r="L1224" s="2" t="str">
        <f>HYPERLINK("https://docs.wto.org/imrd/directdoc.asp?DDFDocuments/u/G/SPS/NCAN896A1.DOC")</f>
        <v>https://docs.wto.org/imrd/directdoc.asp?DDFDocuments/u/G/SPS/NCAN896A1.DOC</v>
      </c>
      <c r="M1224" s="2" t="str">
        <f>HYPERLINK("https://docs.wto.org/imrd/directdoc.asp?DDFDocuments/v/G/SPS/NCAN896A1.DOC")</f>
        <v>https://docs.wto.org/imrd/directdoc.asp?DDFDocuments/v/G/SPS/NCAN896A1.DOC</v>
      </c>
      <c r="N1224" s="2" t="str">
        <f>HYPERLINK("http://www.epingalert.org/#/details/G/SPS/N/CAN/896/Add.1")</f>
        <v>http://www.epingalert.org/#/details/G/SPS/N/CAN/896/Add.1</v>
      </c>
      <c r="O1224" s="2"/>
    </row>
    <row r="1225" spans="1:15" ht="240" customHeight="1" outlineLevel="1" x14ac:dyDescent="0.25">
      <c r="A1225" s="2" t="s">
        <v>173</v>
      </c>
      <c r="B1225" s="2" t="s">
        <v>5026</v>
      </c>
      <c r="C1225" s="2"/>
      <c r="D1225" s="2"/>
      <c r="E1225" s="3">
        <v>42026</v>
      </c>
      <c r="F1225" s="2" t="s">
        <v>4781</v>
      </c>
      <c r="G1225" s="2"/>
      <c r="H1225" s="2" t="s">
        <v>2890</v>
      </c>
      <c r="I1225" s="2" t="s">
        <v>2784</v>
      </c>
      <c r="J1225" s="2"/>
      <c r="K1225" s="2" t="str">
        <f>HYPERLINK("https://docs.wto.org/imrd/directdoc.asp?DDFDocuments/t/G/SPS/NSAU14A1.DOC")</f>
        <v>https://docs.wto.org/imrd/directdoc.asp?DDFDocuments/t/G/SPS/NSAU14A1.DOC</v>
      </c>
      <c r="L1225" s="2" t="str">
        <f>HYPERLINK("https://docs.wto.org/imrd/directdoc.asp?DDFDocuments/u/G/SPS/NSAU14A1.DOC")</f>
        <v>https://docs.wto.org/imrd/directdoc.asp?DDFDocuments/u/G/SPS/NSAU14A1.DOC</v>
      </c>
      <c r="M1225" s="2" t="str">
        <f>HYPERLINK("https://docs.wto.org/imrd/directdoc.asp?DDFDocuments/v/G/SPS/NSAU14A1.DOC")</f>
        <v>https://docs.wto.org/imrd/directdoc.asp?DDFDocuments/v/G/SPS/NSAU14A1.DOC</v>
      </c>
      <c r="N1225" s="2" t="str">
        <f>HYPERLINK("http://www.epingalert.org/#/details/G/SPS/N/SAU/14/Add.1")</f>
        <v>http://www.epingalert.org/#/details/G/SPS/N/SAU/14/Add.1</v>
      </c>
      <c r="O1225" s="2"/>
    </row>
    <row r="1226" spans="1:15" ht="240" customHeight="1" outlineLevel="1" x14ac:dyDescent="0.25">
      <c r="A1226" s="2" t="s">
        <v>380</v>
      </c>
      <c r="B1226" s="2" t="s">
        <v>5075</v>
      </c>
      <c r="C1226" s="2" t="s">
        <v>5076</v>
      </c>
      <c r="D1226" s="2" t="s">
        <v>5077</v>
      </c>
      <c r="E1226" s="3">
        <v>42025</v>
      </c>
      <c r="F1226" s="2" t="s">
        <v>5078</v>
      </c>
      <c r="G1226" s="2"/>
      <c r="H1226" s="2" t="s">
        <v>2425</v>
      </c>
      <c r="I1226" s="2" t="s">
        <v>2426</v>
      </c>
      <c r="J1226" s="3">
        <v>42085</v>
      </c>
      <c r="K1226" s="2" t="str">
        <f>HYPERLINK("https://docs.wto.org/imrd/directdoc.asp?DDFDocuments/t/G/SPS/NCHN750.DOC")</f>
        <v>https://docs.wto.org/imrd/directdoc.asp?DDFDocuments/t/G/SPS/NCHN750.DOC</v>
      </c>
      <c r="L1226" s="2" t="str">
        <f>HYPERLINK("https://docs.wto.org/imrd/directdoc.asp?DDFDocuments/u/G/SPS/NCHN750.DOC")</f>
        <v>https://docs.wto.org/imrd/directdoc.asp?DDFDocuments/u/G/SPS/NCHN750.DOC</v>
      </c>
      <c r="M1226" s="2" t="str">
        <f>HYPERLINK("https://docs.wto.org/imrd/directdoc.asp?DDFDocuments/v/G/SPS/NCHN750.DOC")</f>
        <v>https://docs.wto.org/imrd/directdoc.asp?DDFDocuments/v/G/SPS/NCHN750.DOC</v>
      </c>
      <c r="N1226" s="2" t="str">
        <f>HYPERLINK("http://www.epingalert.org/#/details/G/SPS/N/CHN/750")</f>
        <v>http://www.epingalert.org/#/details/G/SPS/N/CHN/750</v>
      </c>
      <c r="O1226" s="2"/>
    </row>
    <row r="1227" spans="1:15" ht="240" customHeight="1" outlineLevel="1" x14ac:dyDescent="0.25">
      <c r="A1227" s="2" t="s">
        <v>380</v>
      </c>
      <c r="B1227" s="2" t="s">
        <v>5079</v>
      </c>
      <c r="C1227" s="2" t="s">
        <v>5080</v>
      </c>
      <c r="D1227" s="2" t="s">
        <v>5081</v>
      </c>
      <c r="E1227" s="3">
        <v>42025</v>
      </c>
      <c r="F1227" s="2" t="s">
        <v>5082</v>
      </c>
      <c r="G1227" s="2"/>
      <c r="H1227" s="2" t="s">
        <v>2425</v>
      </c>
      <c r="I1227" s="2" t="s">
        <v>2426</v>
      </c>
      <c r="J1227" s="3">
        <v>42085</v>
      </c>
      <c r="K1227" s="2" t="str">
        <f>HYPERLINK("https://docs.wto.org/imrd/directdoc.asp?DDFDocuments/t/G/SPS/NCHN749.DOC")</f>
        <v>https://docs.wto.org/imrd/directdoc.asp?DDFDocuments/t/G/SPS/NCHN749.DOC</v>
      </c>
      <c r="L1227" s="2" t="str">
        <f>HYPERLINK("https://docs.wto.org/imrd/directdoc.asp?DDFDocuments/u/G/SPS/NCHN749.DOC")</f>
        <v>https://docs.wto.org/imrd/directdoc.asp?DDFDocuments/u/G/SPS/NCHN749.DOC</v>
      </c>
      <c r="M1227" s="2" t="str">
        <f>HYPERLINK("https://docs.wto.org/imrd/directdoc.asp?DDFDocuments/v/G/SPS/NCHN749.DOC")</f>
        <v>https://docs.wto.org/imrd/directdoc.asp?DDFDocuments/v/G/SPS/NCHN749.DOC</v>
      </c>
      <c r="N1227" s="2" t="str">
        <f>HYPERLINK("http://www.epingalert.org/#/details/G/SPS/N/CHN/749")</f>
        <v>http://www.epingalert.org/#/details/G/SPS/N/CHN/749</v>
      </c>
      <c r="O1227" s="2"/>
    </row>
    <row r="1228" spans="1:15" ht="240" customHeight="1" outlineLevel="1" x14ac:dyDescent="0.25">
      <c r="A1228" s="2" t="s">
        <v>380</v>
      </c>
      <c r="B1228" s="2" t="s">
        <v>5083</v>
      </c>
      <c r="C1228" s="2" t="s">
        <v>5084</v>
      </c>
      <c r="D1228" s="2" t="s">
        <v>5085</v>
      </c>
      <c r="E1228" s="3">
        <v>42025</v>
      </c>
      <c r="F1228" s="2" t="s">
        <v>5086</v>
      </c>
      <c r="G1228" s="2"/>
      <c r="H1228" s="2" t="s">
        <v>2425</v>
      </c>
      <c r="I1228" s="2" t="s">
        <v>2426</v>
      </c>
      <c r="J1228" s="3">
        <v>42085</v>
      </c>
      <c r="K1228" s="2" t="str">
        <f>HYPERLINK("https://docs.wto.org/imrd/directdoc.asp?DDFDocuments/t/G/SPS/NCHN748.DOC")</f>
        <v>https://docs.wto.org/imrd/directdoc.asp?DDFDocuments/t/G/SPS/NCHN748.DOC</v>
      </c>
      <c r="L1228" s="2" t="str">
        <f>HYPERLINK("https://docs.wto.org/imrd/directdoc.asp?DDFDocuments/u/G/SPS/NCHN748.DOC")</f>
        <v>https://docs.wto.org/imrd/directdoc.asp?DDFDocuments/u/G/SPS/NCHN748.DOC</v>
      </c>
      <c r="M1228" s="2" t="str">
        <f>HYPERLINK("https://docs.wto.org/imrd/directdoc.asp?DDFDocuments/v/G/SPS/NCHN748.DOC")</f>
        <v>https://docs.wto.org/imrd/directdoc.asp?DDFDocuments/v/G/SPS/NCHN748.DOC</v>
      </c>
      <c r="N1228" s="2" t="str">
        <f>HYPERLINK("http://www.epingalert.org/#/details/G/SPS/N/CHN/748")</f>
        <v>http://www.epingalert.org/#/details/G/SPS/N/CHN/748</v>
      </c>
      <c r="O1228" s="2"/>
    </row>
    <row r="1229" spans="1:15" ht="240" customHeight="1" outlineLevel="1" x14ac:dyDescent="0.25">
      <c r="A1229" s="2" t="s">
        <v>380</v>
      </c>
      <c r="B1229" s="2" t="s">
        <v>5087</v>
      </c>
      <c r="C1229" s="2" t="s">
        <v>5088</v>
      </c>
      <c r="D1229" s="2" t="s">
        <v>5089</v>
      </c>
      <c r="E1229" s="3">
        <v>42025</v>
      </c>
      <c r="F1229" s="2" t="s">
        <v>5090</v>
      </c>
      <c r="G1229" s="2"/>
      <c r="H1229" s="2" t="s">
        <v>2425</v>
      </c>
      <c r="I1229" s="2" t="s">
        <v>2426</v>
      </c>
      <c r="J1229" s="3">
        <v>42085</v>
      </c>
      <c r="K1229" s="2" t="str">
        <f>HYPERLINK("https://docs.wto.org/imrd/directdoc.asp?DDFDocuments/t/G/SPS/NCHN747.DOC")</f>
        <v>https://docs.wto.org/imrd/directdoc.asp?DDFDocuments/t/G/SPS/NCHN747.DOC</v>
      </c>
      <c r="L1229" s="2" t="str">
        <f>HYPERLINK("https://docs.wto.org/imrd/directdoc.asp?DDFDocuments/u/G/SPS/NCHN747.DOC")</f>
        <v>https://docs.wto.org/imrd/directdoc.asp?DDFDocuments/u/G/SPS/NCHN747.DOC</v>
      </c>
      <c r="M1229" s="2" t="str">
        <f>HYPERLINK("https://docs.wto.org/imrd/directdoc.asp?DDFDocuments/v/G/SPS/NCHN747.DOC")</f>
        <v>https://docs.wto.org/imrd/directdoc.asp?DDFDocuments/v/G/SPS/NCHN747.DOC</v>
      </c>
      <c r="N1229" s="2" t="str">
        <f>HYPERLINK("http://www.epingalert.org/#/details/G/SPS/N/CHN/747")</f>
        <v>http://www.epingalert.org/#/details/G/SPS/N/CHN/747</v>
      </c>
      <c r="O1229" s="2"/>
    </row>
    <row r="1230" spans="1:15" ht="240" customHeight="1" outlineLevel="1" x14ac:dyDescent="0.25">
      <c r="A1230" s="2" t="s">
        <v>380</v>
      </c>
      <c r="B1230" s="2" t="s">
        <v>5091</v>
      </c>
      <c r="C1230" s="2" t="s">
        <v>5092</v>
      </c>
      <c r="D1230" s="2" t="s">
        <v>5093</v>
      </c>
      <c r="E1230" s="3">
        <v>42025</v>
      </c>
      <c r="F1230" s="2" t="s">
        <v>5094</v>
      </c>
      <c r="G1230" s="2"/>
      <c r="H1230" s="2" t="s">
        <v>2425</v>
      </c>
      <c r="I1230" s="2" t="s">
        <v>2426</v>
      </c>
      <c r="J1230" s="3">
        <v>42085</v>
      </c>
      <c r="K1230" s="2" t="str">
        <f>HYPERLINK("https://docs.wto.org/imrd/directdoc.asp?DDFDocuments/t/G/SPS/NCHN746.DOC")</f>
        <v>https://docs.wto.org/imrd/directdoc.asp?DDFDocuments/t/G/SPS/NCHN746.DOC</v>
      </c>
      <c r="L1230" s="2" t="str">
        <f>HYPERLINK("https://docs.wto.org/imrd/directdoc.asp?DDFDocuments/u/G/SPS/NCHN746.DOC")</f>
        <v>https://docs.wto.org/imrd/directdoc.asp?DDFDocuments/u/G/SPS/NCHN746.DOC</v>
      </c>
      <c r="M1230" s="2" t="str">
        <f>HYPERLINK("https://docs.wto.org/imrd/directdoc.asp?DDFDocuments/v/G/SPS/NCHN746.DOC")</f>
        <v>https://docs.wto.org/imrd/directdoc.asp?DDFDocuments/v/G/SPS/NCHN746.DOC</v>
      </c>
      <c r="N1230" s="2" t="str">
        <f>HYPERLINK("http://www.epingalert.org/#/details/G/SPS/N/CHN/746")</f>
        <v>http://www.epingalert.org/#/details/G/SPS/N/CHN/746</v>
      </c>
      <c r="O1230" s="2"/>
    </row>
    <row r="1231" spans="1:15" ht="240" customHeight="1" outlineLevel="1" x14ac:dyDescent="0.25">
      <c r="A1231" s="2" t="s">
        <v>380</v>
      </c>
      <c r="B1231" s="2" t="s">
        <v>5095</v>
      </c>
      <c r="C1231" s="2" t="s">
        <v>5096</v>
      </c>
      <c r="D1231" s="2" t="s">
        <v>5097</v>
      </c>
      <c r="E1231" s="3">
        <v>42025</v>
      </c>
      <c r="F1231" s="2" t="s">
        <v>5098</v>
      </c>
      <c r="G1231" s="2"/>
      <c r="H1231" s="2" t="s">
        <v>2425</v>
      </c>
      <c r="I1231" s="2" t="s">
        <v>2426</v>
      </c>
      <c r="J1231" s="3">
        <v>42085</v>
      </c>
      <c r="K1231" s="2" t="str">
        <f>HYPERLINK("https://docs.wto.org/imrd/directdoc.asp?DDFDocuments/t/G/SPS/NCHN745.DOC")</f>
        <v>https://docs.wto.org/imrd/directdoc.asp?DDFDocuments/t/G/SPS/NCHN745.DOC</v>
      </c>
      <c r="L1231" s="2" t="str">
        <f>HYPERLINK("https://docs.wto.org/imrd/directdoc.asp?DDFDocuments/u/G/SPS/NCHN745.DOC")</f>
        <v>https://docs.wto.org/imrd/directdoc.asp?DDFDocuments/u/G/SPS/NCHN745.DOC</v>
      </c>
      <c r="M1231" s="2" t="str">
        <f>HYPERLINK("https://docs.wto.org/imrd/directdoc.asp?DDFDocuments/v/G/SPS/NCHN745.DOC")</f>
        <v>https://docs.wto.org/imrd/directdoc.asp?DDFDocuments/v/G/SPS/NCHN745.DOC</v>
      </c>
      <c r="N1231" s="2" t="str">
        <f>HYPERLINK("http://www.epingalert.org/#/details/G/SPS/N/CHN/745")</f>
        <v>http://www.epingalert.org/#/details/G/SPS/N/CHN/745</v>
      </c>
      <c r="O1231" s="2"/>
    </row>
    <row r="1232" spans="1:15" ht="240" customHeight="1" outlineLevel="1" x14ac:dyDescent="0.25">
      <c r="A1232" s="2" t="s">
        <v>380</v>
      </c>
      <c r="B1232" s="2" t="s">
        <v>5099</v>
      </c>
      <c r="C1232" s="2" t="s">
        <v>5100</v>
      </c>
      <c r="D1232" s="2" t="s">
        <v>5101</v>
      </c>
      <c r="E1232" s="3">
        <v>42025</v>
      </c>
      <c r="F1232" s="2" t="s">
        <v>5102</v>
      </c>
      <c r="G1232" s="2"/>
      <c r="H1232" s="2" t="s">
        <v>2425</v>
      </c>
      <c r="I1232" s="2" t="s">
        <v>2426</v>
      </c>
      <c r="J1232" s="3">
        <v>42085</v>
      </c>
      <c r="K1232" s="2" t="str">
        <f>HYPERLINK("https://docs.wto.org/imrd/directdoc.asp?DDFDocuments/t/G/SPS/NCHN744.DOC")</f>
        <v>https://docs.wto.org/imrd/directdoc.asp?DDFDocuments/t/G/SPS/NCHN744.DOC</v>
      </c>
      <c r="L1232" s="2" t="str">
        <f>HYPERLINK("https://docs.wto.org/imrd/directdoc.asp?DDFDocuments/u/G/SPS/NCHN744.DOC")</f>
        <v>https://docs.wto.org/imrd/directdoc.asp?DDFDocuments/u/G/SPS/NCHN744.DOC</v>
      </c>
      <c r="M1232" s="2" t="str">
        <f>HYPERLINK("https://docs.wto.org/imrd/directdoc.asp?DDFDocuments/v/G/SPS/NCHN744.DOC")</f>
        <v>https://docs.wto.org/imrd/directdoc.asp?DDFDocuments/v/G/SPS/NCHN744.DOC</v>
      </c>
      <c r="N1232" s="2" t="str">
        <f>HYPERLINK("http://www.epingalert.org/#/details/G/SPS/N/CHN/744")</f>
        <v>http://www.epingalert.org/#/details/G/SPS/N/CHN/744</v>
      </c>
      <c r="O1232" s="2"/>
    </row>
    <row r="1233" spans="1:15" ht="240" customHeight="1" outlineLevel="1" x14ac:dyDescent="0.25">
      <c r="A1233" s="2" t="s">
        <v>380</v>
      </c>
      <c r="B1233" s="2" t="s">
        <v>5103</v>
      </c>
      <c r="C1233" s="2" t="s">
        <v>5104</v>
      </c>
      <c r="D1233" s="2" t="s">
        <v>5105</v>
      </c>
      <c r="E1233" s="3">
        <v>42025</v>
      </c>
      <c r="F1233" s="2" t="s">
        <v>5106</v>
      </c>
      <c r="G1233" s="2"/>
      <c r="H1233" s="2" t="s">
        <v>2425</v>
      </c>
      <c r="I1233" s="2" t="s">
        <v>2426</v>
      </c>
      <c r="J1233" s="3">
        <v>42085</v>
      </c>
      <c r="K1233" s="2" t="str">
        <f>HYPERLINK("https://docs.wto.org/imrd/directdoc.asp?DDFDocuments/t/G/SPS/NCHN743.DOC")</f>
        <v>https://docs.wto.org/imrd/directdoc.asp?DDFDocuments/t/G/SPS/NCHN743.DOC</v>
      </c>
      <c r="L1233" s="2" t="str">
        <f>HYPERLINK("https://docs.wto.org/imrd/directdoc.asp?DDFDocuments/u/G/SPS/NCHN743.DOC")</f>
        <v>https://docs.wto.org/imrd/directdoc.asp?DDFDocuments/u/G/SPS/NCHN743.DOC</v>
      </c>
      <c r="M1233" s="2" t="str">
        <f>HYPERLINK("https://docs.wto.org/imrd/directdoc.asp?DDFDocuments/v/G/SPS/NCHN743.DOC")</f>
        <v>https://docs.wto.org/imrd/directdoc.asp?DDFDocuments/v/G/SPS/NCHN743.DOC</v>
      </c>
      <c r="N1233" s="2" t="str">
        <f>HYPERLINK("http://www.epingalert.org/#/details/G/SPS/N/CHN/743")</f>
        <v>http://www.epingalert.org/#/details/G/SPS/N/CHN/743</v>
      </c>
      <c r="O1233" s="2"/>
    </row>
    <row r="1234" spans="1:15" ht="240" customHeight="1" outlineLevel="1" x14ac:dyDescent="0.25">
      <c r="A1234" s="2" t="s">
        <v>380</v>
      </c>
      <c r="B1234" s="2" t="s">
        <v>5107</v>
      </c>
      <c r="C1234" s="2" t="s">
        <v>5108</v>
      </c>
      <c r="D1234" s="2" t="s">
        <v>5109</v>
      </c>
      <c r="E1234" s="3">
        <v>42025</v>
      </c>
      <c r="F1234" s="2" t="s">
        <v>5110</v>
      </c>
      <c r="G1234" s="2"/>
      <c r="H1234" s="2" t="s">
        <v>2425</v>
      </c>
      <c r="I1234" s="2" t="s">
        <v>2426</v>
      </c>
      <c r="J1234" s="3">
        <v>42085</v>
      </c>
      <c r="K1234" s="2" t="str">
        <f>HYPERLINK("https://docs.wto.org/imrd/directdoc.asp?DDFDocuments/t/G/SPS/NCHN742.DOC")</f>
        <v>https://docs.wto.org/imrd/directdoc.asp?DDFDocuments/t/G/SPS/NCHN742.DOC</v>
      </c>
      <c r="L1234" s="2" t="str">
        <f>HYPERLINK("https://docs.wto.org/imrd/directdoc.asp?DDFDocuments/u/G/SPS/NCHN742.DOC")</f>
        <v>https://docs.wto.org/imrd/directdoc.asp?DDFDocuments/u/G/SPS/NCHN742.DOC</v>
      </c>
      <c r="M1234" s="2" t="str">
        <f>HYPERLINK("https://docs.wto.org/imrd/directdoc.asp?DDFDocuments/v/G/SPS/NCHN742.DOC")</f>
        <v>https://docs.wto.org/imrd/directdoc.asp?DDFDocuments/v/G/SPS/NCHN742.DOC</v>
      </c>
      <c r="N1234" s="2" t="str">
        <f>HYPERLINK("http://www.epingalert.org/#/details/G/SPS/N/CHN/742")</f>
        <v>http://www.epingalert.org/#/details/G/SPS/N/CHN/742</v>
      </c>
      <c r="O1234" s="2"/>
    </row>
    <row r="1235" spans="1:15" ht="240" customHeight="1" outlineLevel="1" x14ac:dyDescent="0.25">
      <c r="A1235" s="2" t="s">
        <v>380</v>
      </c>
      <c r="B1235" s="2" t="s">
        <v>5111</v>
      </c>
      <c r="C1235" s="2" t="s">
        <v>5112</v>
      </c>
      <c r="D1235" s="2" t="s">
        <v>5113</v>
      </c>
      <c r="E1235" s="3">
        <v>42025</v>
      </c>
      <c r="F1235" s="2" t="s">
        <v>5114</v>
      </c>
      <c r="G1235" s="2"/>
      <c r="H1235" s="2" t="s">
        <v>2425</v>
      </c>
      <c r="I1235" s="2" t="s">
        <v>2426</v>
      </c>
      <c r="J1235" s="3">
        <v>42085</v>
      </c>
      <c r="K1235" s="2" t="str">
        <f>HYPERLINK("https://docs.wto.org/imrd/directdoc.asp?DDFDocuments/t/G/SPS/NCHN741.DOC")</f>
        <v>https://docs.wto.org/imrd/directdoc.asp?DDFDocuments/t/G/SPS/NCHN741.DOC</v>
      </c>
      <c r="L1235" s="2" t="str">
        <f>HYPERLINK("https://docs.wto.org/imrd/directdoc.asp?DDFDocuments/u/G/SPS/NCHN741.DOC")</f>
        <v>https://docs.wto.org/imrd/directdoc.asp?DDFDocuments/u/G/SPS/NCHN741.DOC</v>
      </c>
      <c r="M1235" s="2" t="str">
        <f>HYPERLINK("https://docs.wto.org/imrd/directdoc.asp?DDFDocuments/v/G/SPS/NCHN741.DOC")</f>
        <v>https://docs.wto.org/imrd/directdoc.asp?DDFDocuments/v/G/SPS/NCHN741.DOC</v>
      </c>
      <c r="N1235" s="2" t="str">
        <f>HYPERLINK("http://www.epingalert.org/#/details/G/SPS/N/CHN/741")</f>
        <v>http://www.epingalert.org/#/details/G/SPS/N/CHN/741</v>
      </c>
      <c r="O1235" s="2"/>
    </row>
    <row r="1236" spans="1:15" ht="240" customHeight="1" outlineLevel="1" x14ac:dyDescent="0.25">
      <c r="A1236" s="2" t="s">
        <v>380</v>
      </c>
      <c r="B1236" s="2" t="s">
        <v>5115</v>
      </c>
      <c r="C1236" s="2" t="s">
        <v>5116</v>
      </c>
      <c r="D1236" s="2" t="s">
        <v>5117</v>
      </c>
      <c r="E1236" s="3">
        <v>42025</v>
      </c>
      <c r="F1236" s="2" t="s">
        <v>5118</v>
      </c>
      <c r="G1236" s="2"/>
      <c r="H1236" s="2" t="s">
        <v>2425</v>
      </c>
      <c r="I1236" s="2" t="s">
        <v>2426</v>
      </c>
      <c r="J1236" s="3">
        <v>42085</v>
      </c>
      <c r="K1236" s="2" t="str">
        <f>HYPERLINK("https://docs.wto.org/imrd/directdoc.asp?DDFDocuments/t/G/SPS/NCHN740.DOC")</f>
        <v>https://docs.wto.org/imrd/directdoc.asp?DDFDocuments/t/G/SPS/NCHN740.DOC</v>
      </c>
      <c r="L1236" s="2" t="str">
        <f>HYPERLINK("https://docs.wto.org/imrd/directdoc.asp?DDFDocuments/u/G/SPS/NCHN740.DOC")</f>
        <v>https://docs.wto.org/imrd/directdoc.asp?DDFDocuments/u/G/SPS/NCHN740.DOC</v>
      </c>
      <c r="M1236" s="2" t="str">
        <f>HYPERLINK("https://docs.wto.org/imrd/directdoc.asp?DDFDocuments/v/G/SPS/NCHN740.DOC")</f>
        <v>https://docs.wto.org/imrd/directdoc.asp?DDFDocuments/v/G/SPS/NCHN740.DOC</v>
      </c>
      <c r="N1236" s="2" t="str">
        <f>HYPERLINK("http://www.epingalert.org/#/details/G/SPS/N/CHN/740")</f>
        <v>http://www.epingalert.org/#/details/G/SPS/N/CHN/740</v>
      </c>
      <c r="O1236" s="2"/>
    </row>
    <row r="1237" spans="1:15" ht="240" customHeight="1" outlineLevel="1" x14ac:dyDescent="0.25">
      <c r="A1237" s="2" t="s">
        <v>380</v>
      </c>
      <c r="B1237" s="2" t="s">
        <v>5119</v>
      </c>
      <c r="C1237" s="2" t="s">
        <v>5120</v>
      </c>
      <c r="D1237" s="2" t="s">
        <v>5121</v>
      </c>
      <c r="E1237" s="3">
        <v>42025</v>
      </c>
      <c r="F1237" s="2" t="s">
        <v>5122</v>
      </c>
      <c r="G1237" s="2"/>
      <c r="H1237" s="2" t="s">
        <v>2425</v>
      </c>
      <c r="I1237" s="2" t="s">
        <v>2426</v>
      </c>
      <c r="J1237" s="3">
        <v>42085</v>
      </c>
      <c r="K1237" s="2" t="str">
        <f>HYPERLINK("https://docs.wto.org/imrd/directdoc.asp?DDFDocuments/t/G/SPS/NCHN739.DOC")</f>
        <v>https://docs.wto.org/imrd/directdoc.asp?DDFDocuments/t/G/SPS/NCHN739.DOC</v>
      </c>
      <c r="L1237" s="2" t="str">
        <f>HYPERLINK("https://docs.wto.org/imrd/directdoc.asp?DDFDocuments/u/G/SPS/NCHN739.DOC")</f>
        <v>https://docs.wto.org/imrd/directdoc.asp?DDFDocuments/u/G/SPS/NCHN739.DOC</v>
      </c>
      <c r="M1237" s="2" t="str">
        <f>HYPERLINK("https://docs.wto.org/imrd/directdoc.asp?DDFDocuments/v/G/SPS/NCHN739.DOC")</f>
        <v>https://docs.wto.org/imrd/directdoc.asp?DDFDocuments/v/G/SPS/NCHN739.DOC</v>
      </c>
      <c r="N1237" s="2" t="str">
        <f>HYPERLINK("http://www.epingalert.org/#/details/G/SPS/N/CHN/739")</f>
        <v>http://www.epingalert.org/#/details/G/SPS/N/CHN/739</v>
      </c>
      <c r="O1237" s="2"/>
    </row>
    <row r="1238" spans="1:15" ht="240" customHeight="1" outlineLevel="1" x14ac:dyDescent="0.25">
      <c r="A1238" s="2" t="s">
        <v>380</v>
      </c>
      <c r="B1238" s="2" t="s">
        <v>5123</v>
      </c>
      <c r="C1238" s="2" t="s">
        <v>5124</v>
      </c>
      <c r="D1238" s="2" t="s">
        <v>5125</v>
      </c>
      <c r="E1238" s="3">
        <v>42025</v>
      </c>
      <c r="F1238" s="2" t="s">
        <v>5126</v>
      </c>
      <c r="G1238" s="2"/>
      <c r="H1238" s="2" t="s">
        <v>2425</v>
      </c>
      <c r="I1238" s="2" t="s">
        <v>2426</v>
      </c>
      <c r="J1238" s="3">
        <v>42085</v>
      </c>
      <c r="K1238" s="2" t="str">
        <f>HYPERLINK("https://docs.wto.org/imrd/directdoc.asp?DDFDocuments/t/G/SPS/NCHN738.DOC")</f>
        <v>https://docs.wto.org/imrd/directdoc.asp?DDFDocuments/t/G/SPS/NCHN738.DOC</v>
      </c>
      <c r="L1238" s="2" t="str">
        <f>HYPERLINK("https://docs.wto.org/imrd/directdoc.asp?DDFDocuments/u/G/SPS/NCHN738.DOC")</f>
        <v>https://docs.wto.org/imrd/directdoc.asp?DDFDocuments/u/G/SPS/NCHN738.DOC</v>
      </c>
      <c r="M1238" s="2" t="str">
        <f>HYPERLINK("https://docs.wto.org/imrd/directdoc.asp?DDFDocuments/v/G/SPS/NCHN738.DOC")</f>
        <v>https://docs.wto.org/imrd/directdoc.asp?DDFDocuments/v/G/SPS/NCHN738.DOC</v>
      </c>
      <c r="N1238" s="2" t="str">
        <f>HYPERLINK("http://www.epingalert.org/#/details/G/SPS/N/CHN/738")</f>
        <v>http://www.epingalert.org/#/details/G/SPS/N/CHN/738</v>
      </c>
      <c r="O1238" s="2"/>
    </row>
    <row r="1239" spans="1:15" ht="240" customHeight="1" outlineLevel="1" x14ac:dyDescent="0.25">
      <c r="A1239" s="2" t="s">
        <v>380</v>
      </c>
      <c r="B1239" s="2" t="s">
        <v>5127</v>
      </c>
      <c r="C1239" s="2" t="s">
        <v>5128</v>
      </c>
      <c r="D1239" s="2" t="s">
        <v>5129</v>
      </c>
      <c r="E1239" s="3">
        <v>42025</v>
      </c>
      <c r="F1239" s="2" t="s">
        <v>5130</v>
      </c>
      <c r="G1239" s="2"/>
      <c r="H1239" s="2" t="s">
        <v>2425</v>
      </c>
      <c r="I1239" s="2" t="s">
        <v>2426</v>
      </c>
      <c r="J1239" s="3">
        <v>42085</v>
      </c>
      <c r="K1239" s="2" t="str">
        <f>HYPERLINK("https://docs.wto.org/imrd/directdoc.asp?DDFDocuments/t/G/SPS/NCHN737.DOC")</f>
        <v>https://docs.wto.org/imrd/directdoc.asp?DDFDocuments/t/G/SPS/NCHN737.DOC</v>
      </c>
      <c r="L1239" s="2" t="str">
        <f>HYPERLINK("https://docs.wto.org/imrd/directdoc.asp?DDFDocuments/u/G/SPS/NCHN737.DOC")</f>
        <v>https://docs.wto.org/imrd/directdoc.asp?DDFDocuments/u/G/SPS/NCHN737.DOC</v>
      </c>
      <c r="M1239" s="2" t="str">
        <f>HYPERLINK("https://docs.wto.org/imrd/directdoc.asp?DDFDocuments/v/G/SPS/NCHN737.DOC")</f>
        <v>https://docs.wto.org/imrd/directdoc.asp?DDFDocuments/v/G/SPS/NCHN737.DOC</v>
      </c>
      <c r="N1239" s="2" t="str">
        <f>HYPERLINK("http://www.epingalert.org/#/details/G/SPS/N/CHN/737")</f>
        <v>http://www.epingalert.org/#/details/G/SPS/N/CHN/737</v>
      </c>
      <c r="O1239" s="2"/>
    </row>
    <row r="1240" spans="1:15" ht="240" customHeight="1" outlineLevel="1" x14ac:dyDescent="0.25">
      <c r="A1240" s="2" t="s">
        <v>380</v>
      </c>
      <c r="B1240" s="2" t="s">
        <v>5131</v>
      </c>
      <c r="C1240" s="2" t="s">
        <v>5132</v>
      </c>
      <c r="D1240" s="2" t="s">
        <v>5133</v>
      </c>
      <c r="E1240" s="3">
        <v>42025</v>
      </c>
      <c r="F1240" s="2" t="s">
        <v>5134</v>
      </c>
      <c r="G1240" s="2"/>
      <c r="H1240" s="2" t="s">
        <v>2425</v>
      </c>
      <c r="I1240" s="2" t="s">
        <v>2426</v>
      </c>
      <c r="J1240" s="3">
        <v>42085</v>
      </c>
      <c r="K1240" s="2" t="str">
        <f>HYPERLINK("https://docs.wto.org/imrd/directdoc.asp?DDFDocuments/t/G/SPS/NCHN736.DOC")</f>
        <v>https://docs.wto.org/imrd/directdoc.asp?DDFDocuments/t/G/SPS/NCHN736.DOC</v>
      </c>
      <c r="L1240" s="2" t="str">
        <f>HYPERLINK("https://docs.wto.org/imrd/directdoc.asp?DDFDocuments/u/G/SPS/NCHN736.DOC")</f>
        <v>https://docs.wto.org/imrd/directdoc.asp?DDFDocuments/u/G/SPS/NCHN736.DOC</v>
      </c>
      <c r="M1240" s="2" t="str">
        <f>HYPERLINK("https://docs.wto.org/imrd/directdoc.asp?DDFDocuments/v/G/SPS/NCHN736.DOC")</f>
        <v>https://docs.wto.org/imrd/directdoc.asp?DDFDocuments/v/G/SPS/NCHN736.DOC</v>
      </c>
      <c r="N1240" s="2" t="str">
        <f>HYPERLINK("http://www.epingalert.org/#/details/G/SPS/N/CHN/736")</f>
        <v>http://www.epingalert.org/#/details/G/SPS/N/CHN/736</v>
      </c>
      <c r="O1240" s="2"/>
    </row>
    <row r="1241" spans="1:15" ht="240" customHeight="1" outlineLevel="1" x14ac:dyDescent="0.25">
      <c r="A1241" s="2" t="s">
        <v>380</v>
      </c>
      <c r="B1241" s="2" t="s">
        <v>5135</v>
      </c>
      <c r="C1241" s="2" t="s">
        <v>5136</v>
      </c>
      <c r="D1241" s="2" t="s">
        <v>5137</v>
      </c>
      <c r="E1241" s="3">
        <v>42025</v>
      </c>
      <c r="F1241" s="2" t="s">
        <v>5138</v>
      </c>
      <c r="G1241" s="2"/>
      <c r="H1241" s="2" t="s">
        <v>2425</v>
      </c>
      <c r="I1241" s="2" t="s">
        <v>2426</v>
      </c>
      <c r="J1241" s="3">
        <v>42085</v>
      </c>
      <c r="K1241" s="2" t="str">
        <f>HYPERLINK("https://docs.wto.org/imrd/directdoc.asp?DDFDocuments/t/G/SPS/NCHN735.DOC")</f>
        <v>https://docs.wto.org/imrd/directdoc.asp?DDFDocuments/t/G/SPS/NCHN735.DOC</v>
      </c>
      <c r="L1241" s="2" t="str">
        <f>HYPERLINK("https://docs.wto.org/imrd/directdoc.asp?DDFDocuments/u/G/SPS/NCHN735.DOC")</f>
        <v>https://docs.wto.org/imrd/directdoc.asp?DDFDocuments/u/G/SPS/NCHN735.DOC</v>
      </c>
      <c r="M1241" s="2" t="str">
        <f>HYPERLINK("https://docs.wto.org/imrd/directdoc.asp?DDFDocuments/v/G/SPS/NCHN735.DOC")</f>
        <v>https://docs.wto.org/imrd/directdoc.asp?DDFDocuments/v/G/SPS/NCHN735.DOC</v>
      </c>
      <c r="N1241" s="2" t="str">
        <f>HYPERLINK("http://www.epingalert.org/#/details/G/SPS/N/CHN/735")</f>
        <v>http://www.epingalert.org/#/details/G/SPS/N/CHN/735</v>
      </c>
      <c r="O1241" s="2"/>
    </row>
    <row r="1242" spans="1:15" ht="240" customHeight="1" outlineLevel="1" x14ac:dyDescent="0.25">
      <c r="A1242" s="2" t="s">
        <v>380</v>
      </c>
      <c r="B1242" s="2" t="s">
        <v>5139</v>
      </c>
      <c r="C1242" s="2" t="s">
        <v>5140</v>
      </c>
      <c r="D1242" s="2" t="s">
        <v>5141</v>
      </c>
      <c r="E1242" s="3">
        <v>42025</v>
      </c>
      <c r="F1242" s="2" t="s">
        <v>5142</v>
      </c>
      <c r="G1242" s="2"/>
      <c r="H1242" s="2" t="s">
        <v>2425</v>
      </c>
      <c r="I1242" s="2" t="s">
        <v>2426</v>
      </c>
      <c r="J1242" s="3">
        <v>42085</v>
      </c>
      <c r="K1242" s="2" t="str">
        <f>HYPERLINK("https://docs.wto.org/imrd/directdoc.asp?DDFDocuments/t/G/SPS/NCHN734.DOC")</f>
        <v>https://docs.wto.org/imrd/directdoc.asp?DDFDocuments/t/G/SPS/NCHN734.DOC</v>
      </c>
      <c r="L1242" s="2" t="str">
        <f>HYPERLINK("https://docs.wto.org/imrd/directdoc.asp?DDFDocuments/u/G/SPS/NCHN734.DOC")</f>
        <v>https://docs.wto.org/imrd/directdoc.asp?DDFDocuments/u/G/SPS/NCHN734.DOC</v>
      </c>
      <c r="M1242" s="2" t="str">
        <f>HYPERLINK("https://docs.wto.org/imrd/directdoc.asp?DDFDocuments/v/G/SPS/NCHN734.DOC")</f>
        <v>https://docs.wto.org/imrd/directdoc.asp?DDFDocuments/v/G/SPS/NCHN734.DOC</v>
      </c>
      <c r="N1242" s="2" t="str">
        <f>HYPERLINK("http://www.epingalert.org/#/details/G/SPS/N/CHN/734")</f>
        <v>http://www.epingalert.org/#/details/G/SPS/N/CHN/734</v>
      </c>
      <c r="O1242" s="2"/>
    </row>
    <row r="1243" spans="1:15" ht="240" customHeight="1" outlineLevel="1" x14ac:dyDescent="0.25">
      <c r="A1243" s="2" t="s">
        <v>380</v>
      </c>
      <c r="B1243" s="2" t="s">
        <v>5143</v>
      </c>
      <c r="C1243" s="2" t="s">
        <v>5144</v>
      </c>
      <c r="D1243" s="2" t="s">
        <v>5145</v>
      </c>
      <c r="E1243" s="3">
        <v>42025</v>
      </c>
      <c r="F1243" s="2" t="s">
        <v>5146</v>
      </c>
      <c r="G1243" s="2"/>
      <c r="H1243" s="2" t="s">
        <v>2425</v>
      </c>
      <c r="I1243" s="2" t="s">
        <v>2426</v>
      </c>
      <c r="J1243" s="3">
        <v>42085</v>
      </c>
      <c r="K1243" s="2" t="str">
        <f>HYPERLINK("https://docs.wto.org/imrd/directdoc.asp?DDFDocuments/t/G/SPS/NCHN733.DOC")</f>
        <v>https://docs.wto.org/imrd/directdoc.asp?DDFDocuments/t/G/SPS/NCHN733.DOC</v>
      </c>
      <c r="L1243" s="2" t="str">
        <f>HYPERLINK("https://docs.wto.org/imrd/directdoc.asp?DDFDocuments/u/G/SPS/NCHN733.DOC")</f>
        <v>https://docs.wto.org/imrd/directdoc.asp?DDFDocuments/u/G/SPS/NCHN733.DOC</v>
      </c>
      <c r="M1243" s="2" t="str">
        <f>HYPERLINK("https://docs.wto.org/imrd/directdoc.asp?DDFDocuments/v/G/SPS/NCHN733.DOC")</f>
        <v>https://docs.wto.org/imrd/directdoc.asp?DDFDocuments/v/G/SPS/NCHN733.DOC</v>
      </c>
      <c r="N1243" s="2" t="str">
        <f>HYPERLINK("http://www.epingalert.org/#/details/G/SPS/N/CHN/733")</f>
        <v>http://www.epingalert.org/#/details/G/SPS/N/CHN/733</v>
      </c>
      <c r="O1243" s="2"/>
    </row>
    <row r="1244" spans="1:15" ht="240" customHeight="1" outlineLevel="1" x14ac:dyDescent="0.25">
      <c r="A1244" s="2" t="s">
        <v>380</v>
      </c>
      <c r="B1244" s="2" t="s">
        <v>5147</v>
      </c>
      <c r="C1244" s="2" t="s">
        <v>5148</v>
      </c>
      <c r="D1244" s="2" t="s">
        <v>5149</v>
      </c>
      <c r="E1244" s="3">
        <v>42024</v>
      </c>
      <c r="F1244" s="2" t="s">
        <v>5150</v>
      </c>
      <c r="G1244" s="2"/>
      <c r="H1244" s="2" t="s">
        <v>2425</v>
      </c>
      <c r="I1244" s="2" t="s">
        <v>2426</v>
      </c>
      <c r="J1244" s="3">
        <v>42084</v>
      </c>
      <c r="K1244" s="2" t="str">
        <f>HYPERLINK("https://docs.wto.org/imrd/directdoc.asp?DDFDocuments/t/G/SPS/NCHN732.DOC")</f>
        <v>https://docs.wto.org/imrd/directdoc.asp?DDFDocuments/t/G/SPS/NCHN732.DOC</v>
      </c>
      <c r="L1244" s="2" t="str">
        <f>HYPERLINK("https://docs.wto.org/imrd/directdoc.asp?DDFDocuments/u/G/SPS/NCHN732.DOC")</f>
        <v>https://docs.wto.org/imrd/directdoc.asp?DDFDocuments/u/G/SPS/NCHN732.DOC</v>
      </c>
      <c r="M1244" s="2" t="str">
        <f>HYPERLINK("https://docs.wto.org/imrd/directdoc.asp?DDFDocuments/v/G/SPS/NCHN732.DOC")</f>
        <v>https://docs.wto.org/imrd/directdoc.asp?DDFDocuments/v/G/SPS/NCHN732.DOC</v>
      </c>
      <c r="N1244" s="2" t="str">
        <f>HYPERLINK("http://www.epingalert.org/#/details/G/SPS/N/CHN/732")</f>
        <v>http://www.epingalert.org/#/details/G/SPS/N/CHN/732</v>
      </c>
      <c r="O1244" s="2"/>
    </row>
    <row r="1245" spans="1:15" ht="240" customHeight="1" outlineLevel="1" x14ac:dyDescent="0.25">
      <c r="A1245" s="2" t="s">
        <v>380</v>
      </c>
      <c r="B1245" s="2" t="s">
        <v>5151</v>
      </c>
      <c r="C1245" s="2" t="s">
        <v>5152</v>
      </c>
      <c r="D1245" s="2" t="s">
        <v>5153</v>
      </c>
      <c r="E1245" s="3">
        <v>42024</v>
      </c>
      <c r="F1245" s="2" t="s">
        <v>5154</v>
      </c>
      <c r="G1245" s="2"/>
      <c r="H1245" s="2" t="s">
        <v>2425</v>
      </c>
      <c r="I1245" s="2" t="s">
        <v>2426</v>
      </c>
      <c r="J1245" s="3">
        <v>42084</v>
      </c>
      <c r="K1245" s="2" t="str">
        <f>HYPERLINK("https://docs.wto.org/imrd/directdoc.asp?DDFDocuments/t/G/SPS/NCHN731.DOC")</f>
        <v>https://docs.wto.org/imrd/directdoc.asp?DDFDocuments/t/G/SPS/NCHN731.DOC</v>
      </c>
      <c r="L1245" s="2" t="str">
        <f>HYPERLINK("https://docs.wto.org/imrd/directdoc.asp?DDFDocuments/u/G/SPS/NCHN731.DOC")</f>
        <v>https://docs.wto.org/imrd/directdoc.asp?DDFDocuments/u/G/SPS/NCHN731.DOC</v>
      </c>
      <c r="M1245" s="2" t="str">
        <f>HYPERLINK("https://docs.wto.org/imrd/directdoc.asp?DDFDocuments/v/G/SPS/NCHN731.DOC")</f>
        <v>https://docs.wto.org/imrd/directdoc.asp?DDFDocuments/v/G/SPS/NCHN731.DOC</v>
      </c>
      <c r="N1245" s="2" t="str">
        <f>HYPERLINK("http://www.epingalert.org/#/details/G/SPS/N/CHN/731")</f>
        <v>http://www.epingalert.org/#/details/G/SPS/N/CHN/731</v>
      </c>
      <c r="O1245" s="2"/>
    </row>
    <row r="1246" spans="1:15" ht="240" customHeight="1" outlineLevel="1" x14ac:dyDescent="0.25">
      <c r="A1246" s="2" t="s">
        <v>380</v>
      </c>
      <c r="B1246" s="2" t="s">
        <v>5155</v>
      </c>
      <c r="C1246" s="2" t="s">
        <v>5156</v>
      </c>
      <c r="D1246" s="2" t="s">
        <v>5157</v>
      </c>
      <c r="E1246" s="3">
        <v>42024</v>
      </c>
      <c r="F1246" s="2" t="s">
        <v>5158</v>
      </c>
      <c r="G1246" s="2"/>
      <c r="H1246" s="2" t="s">
        <v>2425</v>
      </c>
      <c r="I1246" s="2" t="s">
        <v>2426</v>
      </c>
      <c r="J1246" s="3">
        <v>42084</v>
      </c>
      <c r="K1246" s="2" t="str">
        <f>HYPERLINK("https://docs.wto.org/imrd/directdoc.asp?DDFDocuments/t/G/SPS/NCHN730.DOC")</f>
        <v>https://docs.wto.org/imrd/directdoc.asp?DDFDocuments/t/G/SPS/NCHN730.DOC</v>
      </c>
      <c r="L1246" s="2" t="str">
        <f>HYPERLINK("https://docs.wto.org/imrd/directdoc.asp?DDFDocuments/u/G/SPS/NCHN730.DOC")</f>
        <v>https://docs.wto.org/imrd/directdoc.asp?DDFDocuments/u/G/SPS/NCHN730.DOC</v>
      </c>
      <c r="M1246" s="2" t="str">
        <f>HYPERLINK("https://docs.wto.org/imrd/directdoc.asp?DDFDocuments/v/G/SPS/NCHN730.DOC")</f>
        <v>https://docs.wto.org/imrd/directdoc.asp?DDFDocuments/v/G/SPS/NCHN730.DOC</v>
      </c>
      <c r="N1246" s="2" t="str">
        <f>HYPERLINK("http://www.epingalert.org/#/details/G/SPS/N/CHN/730")</f>
        <v>http://www.epingalert.org/#/details/G/SPS/N/CHN/730</v>
      </c>
      <c r="O1246" s="2"/>
    </row>
    <row r="1247" spans="1:15" ht="240" customHeight="1" outlineLevel="1" x14ac:dyDescent="0.25">
      <c r="A1247" s="2" t="s">
        <v>380</v>
      </c>
      <c r="B1247" s="2" t="s">
        <v>5159</v>
      </c>
      <c r="C1247" s="2" t="s">
        <v>5160</v>
      </c>
      <c r="D1247" s="2" t="s">
        <v>5161</v>
      </c>
      <c r="E1247" s="3">
        <v>42024</v>
      </c>
      <c r="F1247" s="2" t="s">
        <v>5162</v>
      </c>
      <c r="G1247" s="2"/>
      <c r="H1247" s="2" t="s">
        <v>2425</v>
      </c>
      <c r="I1247" s="2" t="s">
        <v>2426</v>
      </c>
      <c r="J1247" s="3">
        <v>42084</v>
      </c>
      <c r="K1247" s="2" t="str">
        <f>HYPERLINK("https://docs.wto.org/imrd/directdoc.asp?DDFDocuments/t/G/SPS/NCHN729.DOC")</f>
        <v>https://docs.wto.org/imrd/directdoc.asp?DDFDocuments/t/G/SPS/NCHN729.DOC</v>
      </c>
      <c r="L1247" s="2" t="str">
        <f>HYPERLINK("https://docs.wto.org/imrd/directdoc.asp?DDFDocuments/u/G/SPS/NCHN729.DOC")</f>
        <v>https://docs.wto.org/imrd/directdoc.asp?DDFDocuments/u/G/SPS/NCHN729.DOC</v>
      </c>
      <c r="M1247" s="2" t="str">
        <f>HYPERLINK("https://docs.wto.org/imrd/directdoc.asp?DDFDocuments/v/G/SPS/NCHN729.DOC")</f>
        <v>https://docs.wto.org/imrd/directdoc.asp?DDFDocuments/v/G/SPS/NCHN729.DOC</v>
      </c>
      <c r="N1247" s="2" t="str">
        <f>HYPERLINK("http://www.epingalert.org/#/details/G/SPS/N/CHN/729")</f>
        <v>http://www.epingalert.org/#/details/G/SPS/N/CHN/729</v>
      </c>
      <c r="O1247" s="2"/>
    </row>
    <row r="1248" spans="1:15" ht="240" customHeight="1" outlineLevel="1" x14ac:dyDescent="0.25">
      <c r="A1248" s="2" t="s">
        <v>380</v>
      </c>
      <c r="B1248" s="2" t="s">
        <v>5163</v>
      </c>
      <c r="C1248" s="2" t="s">
        <v>5164</v>
      </c>
      <c r="D1248" s="2" t="s">
        <v>5165</v>
      </c>
      <c r="E1248" s="3">
        <v>42024</v>
      </c>
      <c r="F1248" s="2" t="s">
        <v>5166</v>
      </c>
      <c r="G1248" s="2"/>
      <c r="H1248" s="2" t="s">
        <v>2425</v>
      </c>
      <c r="I1248" s="2" t="s">
        <v>2426</v>
      </c>
      <c r="J1248" s="3">
        <v>42084</v>
      </c>
      <c r="K1248" s="2" t="str">
        <f>HYPERLINK("https://docs.wto.org/imrd/directdoc.asp?DDFDocuments/t/G/SPS/NCHN728.DOC")</f>
        <v>https://docs.wto.org/imrd/directdoc.asp?DDFDocuments/t/G/SPS/NCHN728.DOC</v>
      </c>
      <c r="L1248" s="2" t="str">
        <f>HYPERLINK("https://docs.wto.org/imrd/directdoc.asp?DDFDocuments/u/G/SPS/NCHN728.DOC")</f>
        <v>https://docs.wto.org/imrd/directdoc.asp?DDFDocuments/u/G/SPS/NCHN728.DOC</v>
      </c>
      <c r="M1248" s="2" t="str">
        <f>HYPERLINK("https://docs.wto.org/imrd/directdoc.asp?DDFDocuments/v/G/SPS/NCHN728.DOC")</f>
        <v>https://docs.wto.org/imrd/directdoc.asp?DDFDocuments/v/G/SPS/NCHN728.DOC</v>
      </c>
      <c r="N1248" s="2" t="str">
        <f>HYPERLINK("http://www.epingalert.org/#/details/G/SPS/N/CHN/728")</f>
        <v>http://www.epingalert.org/#/details/G/SPS/N/CHN/728</v>
      </c>
      <c r="O1248" s="2"/>
    </row>
    <row r="1249" spans="1:15" ht="240" customHeight="1" outlineLevel="1" x14ac:dyDescent="0.25">
      <c r="A1249" s="2" t="s">
        <v>380</v>
      </c>
      <c r="B1249" s="2" t="s">
        <v>5167</v>
      </c>
      <c r="C1249" s="2" t="s">
        <v>5168</v>
      </c>
      <c r="D1249" s="2" t="s">
        <v>5169</v>
      </c>
      <c r="E1249" s="3">
        <v>42024</v>
      </c>
      <c r="F1249" s="2" t="s">
        <v>5170</v>
      </c>
      <c r="G1249" s="2"/>
      <c r="H1249" s="2" t="s">
        <v>2425</v>
      </c>
      <c r="I1249" s="2" t="s">
        <v>2426</v>
      </c>
      <c r="J1249" s="3">
        <v>42084</v>
      </c>
      <c r="K1249" s="2" t="str">
        <f>HYPERLINK("https://docs.wto.org/imrd/directdoc.asp?DDFDocuments/t/G/SPS/NCHN727.DOC")</f>
        <v>https://docs.wto.org/imrd/directdoc.asp?DDFDocuments/t/G/SPS/NCHN727.DOC</v>
      </c>
      <c r="L1249" s="2" t="str">
        <f>HYPERLINK("https://docs.wto.org/imrd/directdoc.asp?DDFDocuments/u/G/SPS/NCHN727.DOC")</f>
        <v>https://docs.wto.org/imrd/directdoc.asp?DDFDocuments/u/G/SPS/NCHN727.DOC</v>
      </c>
      <c r="M1249" s="2" t="str">
        <f>HYPERLINK("https://docs.wto.org/imrd/directdoc.asp?DDFDocuments/v/G/SPS/NCHN727.DOC")</f>
        <v>https://docs.wto.org/imrd/directdoc.asp?DDFDocuments/v/G/SPS/NCHN727.DOC</v>
      </c>
      <c r="N1249" s="2" t="str">
        <f>HYPERLINK("http://www.epingalert.org/#/details/G/SPS/N/CHN/727")</f>
        <v>http://www.epingalert.org/#/details/G/SPS/N/CHN/727</v>
      </c>
      <c r="O1249" s="2"/>
    </row>
    <row r="1250" spans="1:15" ht="240" customHeight="1" outlineLevel="1" x14ac:dyDescent="0.25">
      <c r="A1250" s="2" t="s">
        <v>380</v>
      </c>
      <c r="B1250" s="2" t="s">
        <v>5171</v>
      </c>
      <c r="C1250" s="2" t="s">
        <v>5172</v>
      </c>
      <c r="D1250" s="2" t="s">
        <v>5173</v>
      </c>
      <c r="E1250" s="3">
        <v>42024</v>
      </c>
      <c r="F1250" s="2" t="s">
        <v>5174</v>
      </c>
      <c r="G1250" s="2"/>
      <c r="H1250" s="2" t="s">
        <v>2425</v>
      </c>
      <c r="I1250" s="2" t="s">
        <v>2426</v>
      </c>
      <c r="J1250" s="3">
        <v>42084</v>
      </c>
      <c r="K1250" s="2" t="str">
        <f>HYPERLINK("https://docs.wto.org/imrd/directdoc.asp?DDFDocuments/t/G/SPS/NCHN726.DOC")</f>
        <v>https://docs.wto.org/imrd/directdoc.asp?DDFDocuments/t/G/SPS/NCHN726.DOC</v>
      </c>
      <c r="L1250" s="2" t="str">
        <f>HYPERLINK("https://docs.wto.org/imrd/directdoc.asp?DDFDocuments/u/G/SPS/NCHN726.DOC")</f>
        <v>https://docs.wto.org/imrd/directdoc.asp?DDFDocuments/u/G/SPS/NCHN726.DOC</v>
      </c>
      <c r="M1250" s="2" t="str">
        <f>HYPERLINK("https://docs.wto.org/imrd/directdoc.asp?DDFDocuments/v/G/SPS/NCHN726.DOC")</f>
        <v>https://docs.wto.org/imrd/directdoc.asp?DDFDocuments/v/G/SPS/NCHN726.DOC</v>
      </c>
      <c r="N1250" s="2" t="str">
        <f>HYPERLINK("http://www.epingalert.org/#/details/G/SPS/N/CHN/726")</f>
        <v>http://www.epingalert.org/#/details/G/SPS/N/CHN/726</v>
      </c>
      <c r="O1250" s="2"/>
    </row>
    <row r="1251" spans="1:15" ht="240" customHeight="1" outlineLevel="1" x14ac:dyDescent="0.25">
      <c r="A1251" s="2" t="s">
        <v>380</v>
      </c>
      <c r="B1251" s="2" t="s">
        <v>5175</v>
      </c>
      <c r="C1251" s="2" t="s">
        <v>5176</v>
      </c>
      <c r="D1251" s="2" t="s">
        <v>5177</v>
      </c>
      <c r="E1251" s="3">
        <v>42024</v>
      </c>
      <c r="F1251" s="2" t="s">
        <v>5178</v>
      </c>
      <c r="G1251" s="2"/>
      <c r="H1251" s="2" t="s">
        <v>2425</v>
      </c>
      <c r="I1251" s="2" t="s">
        <v>2426</v>
      </c>
      <c r="J1251" s="3">
        <v>42084</v>
      </c>
      <c r="K1251" s="2" t="str">
        <f>HYPERLINK("https://docs.wto.org/imrd/directdoc.asp?DDFDocuments/t/G/SPS/NCHN725.DOC")</f>
        <v>https://docs.wto.org/imrd/directdoc.asp?DDFDocuments/t/G/SPS/NCHN725.DOC</v>
      </c>
      <c r="L1251" s="2" t="str">
        <f>HYPERLINK("https://docs.wto.org/imrd/directdoc.asp?DDFDocuments/u/G/SPS/NCHN725.DOC")</f>
        <v>https://docs.wto.org/imrd/directdoc.asp?DDFDocuments/u/G/SPS/NCHN725.DOC</v>
      </c>
      <c r="M1251" s="2" t="str">
        <f>HYPERLINK("https://docs.wto.org/imrd/directdoc.asp?DDFDocuments/v/G/SPS/NCHN725.DOC")</f>
        <v>https://docs.wto.org/imrd/directdoc.asp?DDFDocuments/v/G/SPS/NCHN725.DOC</v>
      </c>
      <c r="N1251" s="2" t="str">
        <f>HYPERLINK("http://www.epingalert.org/#/details/G/SPS/N/CHN/725")</f>
        <v>http://www.epingalert.org/#/details/G/SPS/N/CHN/725</v>
      </c>
      <c r="O1251" s="2"/>
    </row>
    <row r="1252" spans="1:15" ht="240" customHeight="1" outlineLevel="1" x14ac:dyDescent="0.25">
      <c r="A1252" s="2" t="s">
        <v>380</v>
      </c>
      <c r="B1252" s="2" t="s">
        <v>5179</v>
      </c>
      <c r="C1252" s="2" t="s">
        <v>5180</v>
      </c>
      <c r="D1252" s="2" t="s">
        <v>5181</v>
      </c>
      <c r="E1252" s="3">
        <v>42024</v>
      </c>
      <c r="F1252" s="2" t="s">
        <v>5182</v>
      </c>
      <c r="G1252" s="2"/>
      <c r="H1252" s="2" t="s">
        <v>2425</v>
      </c>
      <c r="I1252" s="2" t="s">
        <v>2426</v>
      </c>
      <c r="J1252" s="3">
        <v>42084</v>
      </c>
      <c r="K1252" s="2" t="str">
        <f>HYPERLINK("https://docs.wto.org/imrd/directdoc.asp?DDFDocuments/t/G/SPS/NCHN724.DOC")</f>
        <v>https://docs.wto.org/imrd/directdoc.asp?DDFDocuments/t/G/SPS/NCHN724.DOC</v>
      </c>
      <c r="L1252" s="2" t="str">
        <f>HYPERLINK("https://docs.wto.org/imrd/directdoc.asp?DDFDocuments/u/G/SPS/NCHN724.DOC")</f>
        <v>https://docs.wto.org/imrd/directdoc.asp?DDFDocuments/u/G/SPS/NCHN724.DOC</v>
      </c>
      <c r="M1252" s="2" t="str">
        <f>HYPERLINK("https://docs.wto.org/imrd/directdoc.asp?DDFDocuments/v/G/SPS/NCHN724.DOC")</f>
        <v>https://docs.wto.org/imrd/directdoc.asp?DDFDocuments/v/G/SPS/NCHN724.DOC</v>
      </c>
      <c r="N1252" s="2" t="str">
        <f>HYPERLINK("http://www.epingalert.org/#/details/G/SPS/N/CHN/724")</f>
        <v>http://www.epingalert.org/#/details/G/SPS/N/CHN/724</v>
      </c>
      <c r="O1252" s="2"/>
    </row>
    <row r="1253" spans="1:15" ht="240" customHeight="1" outlineLevel="1" x14ac:dyDescent="0.25">
      <c r="A1253" s="2" t="s">
        <v>380</v>
      </c>
      <c r="B1253" s="2" t="s">
        <v>5183</v>
      </c>
      <c r="C1253" s="2" t="s">
        <v>5184</v>
      </c>
      <c r="D1253" s="2" t="s">
        <v>5185</v>
      </c>
      <c r="E1253" s="3">
        <v>42024</v>
      </c>
      <c r="F1253" s="2" t="s">
        <v>5186</v>
      </c>
      <c r="G1253" s="2"/>
      <c r="H1253" s="2" t="s">
        <v>2425</v>
      </c>
      <c r="I1253" s="2" t="s">
        <v>2426</v>
      </c>
      <c r="J1253" s="3">
        <v>42084</v>
      </c>
      <c r="K1253" s="2" t="str">
        <f>HYPERLINK("https://docs.wto.org/imrd/directdoc.asp?DDFDocuments/t/G/SPS/NCHN723.DOC")</f>
        <v>https://docs.wto.org/imrd/directdoc.asp?DDFDocuments/t/G/SPS/NCHN723.DOC</v>
      </c>
      <c r="L1253" s="2" t="str">
        <f>HYPERLINK("https://docs.wto.org/imrd/directdoc.asp?DDFDocuments/u/G/SPS/NCHN723.DOC")</f>
        <v>https://docs.wto.org/imrd/directdoc.asp?DDFDocuments/u/G/SPS/NCHN723.DOC</v>
      </c>
      <c r="M1253" s="2" t="str">
        <f>HYPERLINK("https://docs.wto.org/imrd/directdoc.asp?DDFDocuments/v/G/SPS/NCHN723.DOC")</f>
        <v>https://docs.wto.org/imrd/directdoc.asp?DDFDocuments/v/G/SPS/NCHN723.DOC</v>
      </c>
      <c r="N1253" s="2" t="str">
        <f>HYPERLINK("http://www.epingalert.org/#/details/G/SPS/N/CHN/723")</f>
        <v>http://www.epingalert.org/#/details/G/SPS/N/CHN/723</v>
      </c>
      <c r="O1253" s="2"/>
    </row>
    <row r="1254" spans="1:15" ht="240" customHeight="1" outlineLevel="1" x14ac:dyDescent="0.25">
      <c r="A1254" s="2" t="s">
        <v>380</v>
      </c>
      <c r="B1254" s="2" t="s">
        <v>5187</v>
      </c>
      <c r="C1254" s="2" t="s">
        <v>5188</v>
      </c>
      <c r="D1254" s="2" t="s">
        <v>5189</v>
      </c>
      <c r="E1254" s="3">
        <v>42024</v>
      </c>
      <c r="F1254" s="2" t="s">
        <v>5190</v>
      </c>
      <c r="G1254" s="2"/>
      <c r="H1254" s="2" t="s">
        <v>2425</v>
      </c>
      <c r="I1254" s="2" t="s">
        <v>2426</v>
      </c>
      <c r="J1254" s="3">
        <v>42084</v>
      </c>
      <c r="K1254" s="2" t="str">
        <f>HYPERLINK("https://docs.wto.org/imrd/directdoc.asp?DDFDocuments/t/G/SPS/NCHN722.DOC")</f>
        <v>https://docs.wto.org/imrd/directdoc.asp?DDFDocuments/t/G/SPS/NCHN722.DOC</v>
      </c>
      <c r="L1254" s="2" t="str">
        <f>HYPERLINK("https://docs.wto.org/imrd/directdoc.asp?DDFDocuments/u/G/SPS/NCHN722.DOC")</f>
        <v>https://docs.wto.org/imrd/directdoc.asp?DDFDocuments/u/G/SPS/NCHN722.DOC</v>
      </c>
      <c r="M1254" s="2" t="str">
        <f>HYPERLINK("https://docs.wto.org/imrd/directdoc.asp?DDFDocuments/v/G/SPS/NCHN722.DOC")</f>
        <v>https://docs.wto.org/imrd/directdoc.asp?DDFDocuments/v/G/SPS/NCHN722.DOC</v>
      </c>
      <c r="N1254" s="2" t="str">
        <f>HYPERLINK("http://www.epingalert.org/#/details/G/SPS/N/CHN/722")</f>
        <v>http://www.epingalert.org/#/details/G/SPS/N/CHN/722</v>
      </c>
      <c r="O1254" s="2"/>
    </row>
    <row r="1255" spans="1:15" ht="240" customHeight="1" outlineLevel="1" x14ac:dyDescent="0.25">
      <c r="A1255" s="2" t="s">
        <v>380</v>
      </c>
      <c r="B1255" s="2" t="s">
        <v>5191</v>
      </c>
      <c r="C1255" s="2" t="s">
        <v>5192</v>
      </c>
      <c r="D1255" s="2" t="s">
        <v>5193</v>
      </c>
      <c r="E1255" s="3">
        <v>42024</v>
      </c>
      <c r="F1255" s="2" t="s">
        <v>5194</v>
      </c>
      <c r="G1255" s="2"/>
      <c r="H1255" s="2" t="s">
        <v>2425</v>
      </c>
      <c r="I1255" s="2" t="s">
        <v>2426</v>
      </c>
      <c r="J1255" s="3">
        <v>42084</v>
      </c>
      <c r="K1255" s="2" t="str">
        <f>HYPERLINK("https://docs.wto.org/imrd/directdoc.asp?DDFDocuments/t/G/SPS/NCHN721.DOC")</f>
        <v>https://docs.wto.org/imrd/directdoc.asp?DDFDocuments/t/G/SPS/NCHN721.DOC</v>
      </c>
      <c r="L1255" s="2" t="str">
        <f>HYPERLINK("https://docs.wto.org/imrd/directdoc.asp?DDFDocuments/u/G/SPS/NCHN721.DOC")</f>
        <v>https://docs.wto.org/imrd/directdoc.asp?DDFDocuments/u/G/SPS/NCHN721.DOC</v>
      </c>
      <c r="M1255" s="2" t="str">
        <f>HYPERLINK("https://docs.wto.org/imrd/directdoc.asp?DDFDocuments/v/G/SPS/NCHN721.DOC")</f>
        <v>https://docs.wto.org/imrd/directdoc.asp?DDFDocuments/v/G/SPS/NCHN721.DOC</v>
      </c>
      <c r="N1255" s="2" t="str">
        <f>HYPERLINK("http://www.epingalert.org/#/details/G/SPS/N/CHN/721")</f>
        <v>http://www.epingalert.org/#/details/G/SPS/N/CHN/721</v>
      </c>
      <c r="O1255" s="2"/>
    </row>
    <row r="1256" spans="1:15" ht="240" customHeight="1" outlineLevel="1" x14ac:dyDescent="0.25">
      <c r="A1256" s="2" t="s">
        <v>380</v>
      </c>
      <c r="B1256" s="2" t="s">
        <v>5195</v>
      </c>
      <c r="C1256" s="2" t="s">
        <v>5196</v>
      </c>
      <c r="D1256" s="2" t="s">
        <v>5197</v>
      </c>
      <c r="E1256" s="3">
        <v>42024</v>
      </c>
      <c r="F1256" s="2" t="s">
        <v>5198</v>
      </c>
      <c r="G1256" s="2"/>
      <c r="H1256" s="2" t="s">
        <v>2425</v>
      </c>
      <c r="I1256" s="2" t="s">
        <v>2426</v>
      </c>
      <c r="J1256" s="3">
        <v>42084</v>
      </c>
      <c r="K1256" s="2" t="str">
        <f>HYPERLINK("https://docs.wto.org/imrd/directdoc.asp?DDFDocuments/t/G/SPS/NCHN720.DOC")</f>
        <v>https://docs.wto.org/imrd/directdoc.asp?DDFDocuments/t/G/SPS/NCHN720.DOC</v>
      </c>
      <c r="L1256" s="2" t="str">
        <f>HYPERLINK("https://docs.wto.org/imrd/directdoc.asp?DDFDocuments/u/G/SPS/NCHN720.DOC")</f>
        <v>https://docs.wto.org/imrd/directdoc.asp?DDFDocuments/u/G/SPS/NCHN720.DOC</v>
      </c>
      <c r="M1256" s="2" t="str">
        <f>HYPERLINK("https://docs.wto.org/imrd/directdoc.asp?DDFDocuments/v/G/SPS/NCHN720.DOC")</f>
        <v>https://docs.wto.org/imrd/directdoc.asp?DDFDocuments/v/G/SPS/NCHN720.DOC</v>
      </c>
      <c r="N1256" s="2" t="str">
        <f>HYPERLINK("http://www.epingalert.org/#/details/G/SPS/N/CHN/720")</f>
        <v>http://www.epingalert.org/#/details/G/SPS/N/CHN/720</v>
      </c>
      <c r="O1256" s="2"/>
    </row>
    <row r="1257" spans="1:15" ht="240" customHeight="1" outlineLevel="1" x14ac:dyDescent="0.25">
      <c r="A1257" s="2" t="s">
        <v>380</v>
      </c>
      <c r="B1257" s="2" t="s">
        <v>5199</v>
      </c>
      <c r="C1257" s="2" t="s">
        <v>5200</v>
      </c>
      <c r="D1257" s="2" t="s">
        <v>5201</v>
      </c>
      <c r="E1257" s="3">
        <v>42024</v>
      </c>
      <c r="F1257" s="2" t="s">
        <v>5202</v>
      </c>
      <c r="G1257" s="2"/>
      <c r="H1257" s="2" t="s">
        <v>2425</v>
      </c>
      <c r="I1257" s="2" t="s">
        <v>2426</v>
      </c>
      <c r="J1257" s="3">
        <v>42084</v>
      </c>
      <c r="K1257" s="2" t="str">
        <f>HYPERLINK("https://docs.wto.org/imrd/directdoc.asp?DDFDocuments/t/G/SPS/NCHN719.DOC")</f>
        <v>https://docs.wto.org/imrd/directdoc.asp?DDFDocuments/t/G/SPS/NCHN719.DOC</v>
      </c>
      <c r="L1257" s="2" t="str">
        <f>HYPERLINK("https://docs.wto.org/imrd/directdoc.asp?DDFDocuments/u/G/SPS/NCHN719.DOC")</f>
        <v>https://docs.wto.org/imrd/directdoc.asp?DDFDocuments/u/G/SPS/NCHN719.DOC</v>
      </c>
      <c r="M1257" s="2" t="str">
        <f>HYPERLINK("https://docs.wto.org/imrd/directdoc.asp?DDFDocuments/v/G/SPS/NCHN719.DOC")</f>
        <v>https://docs.wto.org/imrd/directdoc.asp?DDFDocuments/v/G/SPS/NCHN719.DOC</v>
      </c>
      <c r="N1257" s="2" t="str">
        <f>HYPERLINK("http://www.epingalert.org/#/details/G/SPS/N/CHN/719")</f>
        <v>http://www.epingalert.org/#/details/G/SPS/N/CHN/719</v>
      </c>
      <c r="O1257" s="2"/>
    </row>
    <row r="1258" spans="1:15" ht="240" customHeight="1" outlineLevel="1" x14ac:dyDescent="0.25">
      <c r="A1258" s="2" t="s">
        <v>380</v>
      </c>
      <c r="B1258" s="2" t="s">
        <v>5203</v>
      </c>
      <c r="C1258" s="2" t="s">
        <v>5204</v>
      </c>
      <c r="D1258" s="2" t="s">
        <v>5205</v>
      </c>
      <c r="E1258" s="3">
        <v>42024</v>
      </c>
      <c r="F1258" s="2" t="s">
        <v>5206</v>
      </c>
      <c r="G1258" s="2"/>
      <c r="H1258" s="2" t="s">
        <v>2425</v>
      </c>
      <c r="I1258" s="2" t="s">
        <v>2426</v>
      </c>
      <c r="J1258" s="3">
        <v>42084</v>
      </c>
      <c r="K1258" s="2" t="str">
        <f>HYPERLINK("https://docs.wto.org/imrd/directdoc.asp?DDFDocuments/t/G/SPS/NCHN718.DOC")</f>
        <v>https://docs.wto.org/imrd/directdoc.asp?DDFDocuments/t/G/SPS/NCHN718.DOC</v>
      </c>
      <c r="L1258" s="2" t="str">
        <f>HYPERLINK("https://docs.wto.org/imrd/directdoc.asp?DDFDocuments/u/G/SPS/NCHN718.DOC")</f>
        <v>https://docs.wto.org/imrd/directdoc.asp?DDFDocuments/u/G/SPS/NCHN718.DOC</v>
      </c>
      <c r="M1258" s="2" t="str">
        <f>HYPERLINK("https://docs.wto.org/imrd/directdoc.asp?DDFDocuments/v/G/SPS/NCHN718.DOC")</f>
        <v>https://docs.wto.org/imrd/directdoc.asp?DDFDocuments/v/G/SPS/NCHN718.DOC</v>
      </c>
      <c r="N1258" s="2" t="str">
        <f>HYPERLINK("http://www.epingalert.org/#/details/G/SPS/N/CHN/718")</f>
        <v>http://www.epingalert.org/#/details/G/SPS/N/CHN/718</v>
      </c>
      <c r="O1258" s="2"/>
    </row>
    <row r="1259" spans="1:15" ht="240" customHeight="1" outlineLevel="1" x14ac:dyDescent="0.25">
      <c r="A1259" s="2" t="s">
        <v>380</v>
      </c>
      <c r="B1259" s="2" t="s">
        <v>5207</v>
      </c>
      <c r="C1259" s="2" t="s">
        <v>5208</v>
      </c>
      <c r="D1259" s="2" t="s">
        <v>5209</v>
      </c>
      <c r="E1259" s="3">
        <v>42023</v>
      </c>
      <c r="F1259" s="2" t="s">
        <v>5210</v>
      </c>
      <c r="G1259" s="2"/>
      <c r="H1259" s="2" t="s">
        <v>2425</v>
      </c>
      <c r="I1259" s="2" t="s">
        <v>2426</v>
      </c>
      <c r="J1259" s="3">
        <v>42083</v>
      </c>
      <c r="K1259" s="2" t="str">
        <f>HYPERLINK("https://docs.wto.org/imrd/directdoc.asp?DDFDocuments/t/G/SPS/NCHN717.DOC")</f>
        <v>https://docs.wto.org/imrd/directdoc.asp?DDFDocuments/t/G/SPS/NCHN717.DOC</v>
      </c>
      <c r="L1259" s="2" t="str">
        <f>HYPERLINK("https://docs.wto.org/imrd/directdoc.asp?DDFDocuments/u/G/SPS/NCHN717.DOC")</f>
        <v>https://docs.wto.org/imrd/directdoc.asp?DDFDocuments/u/G/SPS/NCHN717.DOC</v>
      </c>
      <c r="M1259" s="2" t="str">
        <f>HYPERLINK("https://docs.wto.org/imrd/directdoc.asp?DDFDocuments/v/G/SPS/NCHN717.DOC")</f>
        <v>https://docs.wto.org/imrd/directdoc.asp?DDFDocuments/v/G/SPS/NCHN717.DOC</v>
      </c>
      <c r="N1259" s="2" t="str">
        <f>HYPERLINK("http://www.epingalert.org/#/details/G/SPS/N/CHN/717")</f>
        <v>http://www.epingalert.org/#/details/G/SPS/N/CHN/717</v>
      </c>
      <c r="O1259" s="2"/>
    </row>
    <row r="1260" spans="1:15" ht="240" customHeight="1" outlineLevel="1" x14ac:dyDescent="0.25">
      <c r="A1260" s="2" t="s">
        <v>380</v>
      </c>
      <c r="B1260" s="2" t="s">
        <v>5211</v>
      </c>
      <c r="C1260" s="2" t="s">
        <v>5212</v>
      </c>
      <c r="D1260" s="2" t="s">
        <v>5213</v>
      </c>
      <c r="E1260" s="3">
        <v>42023</v>
      </c>
      <c r="F1260" s="2" t="s">
        <v>5214</v>
      </c>
      <c r="G1260" s="2"/>
      <c r="H1260" s="2" t="s">
        <v>2425</v>
      </c>
      <c r="I1260" s="2" t="s">
        <v>2426</v>
      </c>
      <c r="J1260" s="3">
        <v>42083</v>
      </c>
      <c r="K1260" s="2" t="str">
        <f>HYPERLINK("https://docs.wto.org/imrd/directdoc.asp?DDFDocuments/t/G/SPS/NCHN716.DOC")</f>
        <v>https://docs.wto.org/imrd/directdoc.asp?DDFDocuments/t/G/SPS/NCHN716.DOC</v>
      </c>
      <c r="L1260" s="2" t="str">
        <f>HYPERLINK("https://docs.wto.org/imrd/directdoc.asp?DDFDocuments/u/G/SPS/NCHN716.DOC")</f>
        <v>https://docs.wto.org/imrd/directdoc.asp?DDFDocuments/u/G/SPS/NCHN716.DOC</v>
      </c>
      <c r="M1260" s="2" t="str">
        <f>HYPERLINK("https://docs.wto.org/imrd/directdoc.asp?DDFDocuments/v/G/SPS/NCHN716.DOC")</f>
        <v>https://docs.wto.org/imrd/directdoc.asp?DDFDocuments/v/G/SPS/NCHN716.DOC</v>
      </c>
      <c r="N1260" s="2" t="str">
        <f>HYPERLINK("http://www.epingalert.org/#/details/G/SPS/N/CHN/716")</f>
        <v>http://www.epingalert.org/#/details/G/SPS/N/CHN/716</v>
      </c>
      <c r="O1260" s="2"/>
    </row>
    <row r="1261" spans="1:15" ht="240" customHeight="1" outlineLevel="1" x14ac:dyDescent="0.25">
      <c r="A1261" s="2" t="s">
        <v>380</v>
      </c>
      <c r="B1261" s="2" t="s">
        <v>5215</v>
      </c>
      <c r="C1261" s="2" t="s">
        <v>5216</v>
      </c>
      <c r="D1261" s="2" t="s">
        <v>5217</v>
      </c>
      <c r="E1261" s="3">
        <v>42023</v>
      </c>
      <c r="F1261" s="2" t="s">
        <v>5218</v>
      </c>
      <c r="G1261" s="2"/>
      <c r="H1261" s="2" t="s">
        <v>2425</v>
      </c>
      <c r="I1261" s="2" t="s">
        <v>2426</v>
      </c>
      <c r="J1261" s="3">
        <v>42083</v>
      </c>
      <c r="K1261" s="2" t="str">
        <f>HYPERLINK("https://docs.wto.org/imrd/directdoc.asp?DDFDocuments/t/G/SPS/NCHN715.DOC")</f>
        <v>https://docs.wto.org/imrd/directdoc.asp?DDFDocuments/t/G/SPS/NCHN715.DOC</v>
      </c>
      <c r="L1261" s="2" t="str">
        <f>HYPERLINK("https://docs.wto.org/imrd/directdoc.asp?DDFDocuments/u/G/SPS/NCHN715.DOC")</f>
        <v>https://docs.wto.org/imrd/directdoc.asp?DDFDocuments/u/G/SPS/NCHN715.DOC</v>
      </c>
      <c r="M1261" s="2" t="str">
        <f>HYPERLINK("https://docs.wto.org/imrd/directdoc.asp?DDFDocuments/v/G/SPS/NCHN715.DOC")</f>
        <v>https://docs.wto.org/imrd/directdoc.asp?DDFDocuments/v/G/SPS/NCHN715.DOC</v>
      </c>
      <c r="N1261" s="2" t="str">
        <f>HYPERLINK("http://www.epingalert.org/#/details/G/SPS/N/CHN/715")</f>
        <v>http://www.epingalert.org/#/details/G/SPS/N/CHN/715</v>
      </c>
      <c r="O1261" s="2"/>
    </row>
    <row r="1262" spans="1:15" ht="240" customHeight="1" outlineLevel="1" x14ac:dyDescent="0.25">
      <c r="A1262" s="2" t="s">
        <v>380</v>
      </c>
      <c r="B1262" s="2" t="s">
        <v>5219</v>
      </c>
      <c r="C1262" s="2" t="s">
        <v>5220</v>
      </c>
      <c r="D1262" s="2" t="s">
        <v>5221</v>
      </c>
      <c r="E1262" s="3">
        <v>42023</v>
      </c>
      <c r="F1262" s="2" t="s">
        <v>5222</v>
      </c>
      <c r="G1262" s="2"/>
      <c r="H1262" s="2" t="s">
        <v>2425</v>
      </c>
      <c r="I1262" s="2" t="s">
        <v>2426</v>
      </c>
      <c r="J1262" s="3">
        <v>42083</v>
      </c>
      <c r="K1262" s="2" t="str">
        <f>HYPERLINK("https://docs.wto.org/imrd/directdoc.asp?DDFDocuments/t/G/SPS/NCHN714.DOC")</f>
        <v>https://docs.wto.org/imrd/directdoc.asp?DDFDocuments/t/G/SPS/NCHN714.DOC</v>
      </c>
      <c r="L1262" s="2" t="str">
        <f>HYPERLINK("https://docs.wto.org/imrd/directdoc.asp?DDFDocuments/u/G/SPS/NCHN714.DOC")</f>
        <v>https://docs.wto.org/imrd/directdoc.asp?DDFDocuments/u/G/SPS/NCHN714.DOC</v>
      </c>
      <c r="M1262" s="2" t="str">
        <f>HYPERLINK("https://docs.wto.org/imrd/directdoc.asp?DDFDocuments/v/G/SPS/NCHN714.DOC")</f>
        <v>https://docs.wto.org/imrd/directdoc.asp?DDFDocuments/v/G/SPS/NCHN714.DOC</v>
      </c>
      <c r="N1262" s="2" t="str">
        <f>HYPERLINK("http://www.epingalert.org/#/details/G/SPS/N/CHN/714")</f>
        <v>http://www.epingalert.org/#/details/G/SPS/N/CHN/714</v>
      </c>
      <c r="O1262" s="2"/>
    </row>
    <row r="1263" spans="1:15" ht="240" customHeight="1" outlineLevel="1" x14ac:dyDescent="0.25">
      <c r="A1263" s="2" t="s">
        <v>380</v>
      </c>
      <c r="B1263" s="2" t="s">
        <v>5223</v>
      </c>
      <c r="C1263" s="2" t="s">
        <v>5224</v>
      </c>
      <c r="D1263" s="2" t="s">
        <v>5225</v>
      </c>
      <c r="E1263" s="3">
        <v>42023</v>
      </c>
      <c r="F1263" s="2" t="s">
        <v>5226</v>
      </c>
      <c r="G1263" s="2"/>
      <c r="H1263" s="2" t="s">
        <v>2425</v>
      </c>
      <c r="I1263" s="2" t="s">
        <v>2426</v>
      </c>
      <c r="J1263" s="3">
        <v>42083</v>
      </c>
      <c r="K1263" s="2" t="str">
        <f>HYPERLINK("https://docs.wto.org/imrd/directdoc.asp?DDFDocuments/t/G/SPS/NCHN713.DOC")</f>
        <v>https://docs.wto.org/imrd/directdoc.asp?DDFDocuments/t/G/SPS/NCHN713.DOC</v>
      </c>
      <c r="L1263" s="2" t="str">
        <f>HYPERLINK("https://docs.wto.org/imrd/directdoc.asp?DDFDocuments/u/G/SPS/NCHN713.DOC")</f>
        <v>https://docs.wto.org/imrd/directdoc.asp?DDFDocuments/u/G/SPS/NCHN713.DOC</v>
      </c>
      <c r="M1263" s="2" t="str">
        <f>HYPERLINK("https://docs.wto.org/imrd/directdoc.asp?DDFDocuments/v/G/SPS/NCHN713.DOC")</f>
        <v>https://docs.wto.org/imrd/directdoc.asp?DDFDocuments/v/G/SPS/NCHN713.DOC</v>
      </c>
      <c r="N1263" s="2" t="str">
        <f>HYPERLINK("http://www.epingalert.org/#/details/G/SPS/N/CHN/713")</f>
        <v>http://www.epingalert.org/#/details/G/SPS/N/CHN/713</v>
      </c>
      <c r="O1263" s="2"/>
    </row>
    <row r="1264" spans="1:15" ht="240" customHeight="1" outlineLevel="1" x14ac:dyDescent="0.25">
      <c r="A1264" s="2" t="s">
        <v>380</v>
      </c>
      <c r="B1264" s="2" t="s">
        <v>5227</v>
      </c>
      <c r="C1264" s="2" t="s">
        <v>5228</v>
      </c>
      <c r="D1264" s="2" t="s">
        <v>5229</v>
      </c>
      <c r="E1264" s="3">
        <v>42023</v>
      </c>
      <c r="F1264" s="2" t="s">
        <v>5230</v>
      </c>
      <c r="G1264" s="2"/>
      <c r="H1264" s="2" t="s">
        <v>2425</v>
      </c>
      <c r="I1264" s="2" t="s">
        <v>2426</v>
      </c>
      <c r="J1264" s="3">
        <v>42083</v>
      </c>
      <c r="K1264" s="2" t="str">
        <f>HYPERLINK("https://docs.wto.org/imrd/directdoc.asp?DDFDocuments/t/G/SPS/NCHN712.DOC")</f>
        <v>https://docs.wto.org/imrd/directdoc.asp?DDFDocuments/t/G/SPS/NCHN712.DOC</v>
      </c>
      <c r="L1264" s="2" t="str">
        <f>HYPERLINK("https://docs.wto.org/imrd/directdoc.asp?DDFDocuments/u/G/SPS/NCHN712.DOC")</f>
        <v>https://docs.wto.org/imrd/directdoc.asp?DDFDocuments/u/G/SPS/NCHN712.DOC</v>
      </c>
      <c r="M1264" s="2" t="str">
        <f>HYPERLINK("https://docs.wto.org/imrd/directdoc.asp?DDFDocuments/v/G/SPS/NCHN712.DOC")</f>
        <v>https://docs.wto.org/imrd/directdoc.asp?DDFDocuments/v/G/SPS/NCHN712.DOC</v>
      </c>
      <c r="N1264" s="2" t="str">
        <f>HYPERLINK("http://www.epingalert.org/#/details/G/SPS/N/CHN/712")</f>
        <v>http://www.epingalert.org/#/details/G/SPS/N/CHN/712</v>
      </c>
      <c r="O1264" s="2"/>
    </row>
    <row r="1265" spans="1:15" ht="240" customHeight="1" outlineLevel="1" x14ac:dyDescent="0.25">
      <c r="A1265" s="2" t="s">
        <v>380</v>
      </c>
      <c r="B1265" s="2" t="s">
        <v>5231</v>
      </c>
      <c r="C1265" s="2" t="s">
        <v>5232</v>
      </c>
      <c r="D1265" s="2" t="s">
        <v>5233</v>
      </c>
      <c r="E1265" s="3">
        <v>42023</v>
      </c>
      <c r="F1265" s="2" t="s">
        <v>5234</v>
      </c>
      <c r="G1265" s="2"/>
      <c r="H1265" s="2" t="s">
        <v>2425</v>
      </c>
      <c r="I1265" s="2" t="s">
        <v>2426</v>
      </c>
      <c r="J1265" s="3">
        <v>42083</v>
      </c>
      <c r="K1265" s="2" t="str">
        <f>HYPERLINK("https://docs.wto.org/imrd/directdoc.asp?DDFDocuments/t/G/SPS/NCHN711.DOC")</f>
        <v>https://docs.wto.org/imrd/directdoc.asp?DDFDocuments/t/G/SPS/NCHN711.DOC</v>
      </c>
      <c r="L1265" s="2" t="str">
        <f>HYPERLINK("https://docs.wto.org/imrd/directdoc.asp?DDFDocuments/u/G/SPS/NCHN711.DOC")</f>
        <v>https://docs.wto.org/imrd/directdoc.asp?DDFDocuments/u/G/SPS/NCHN711.DOC</v>
      </c>
      <c r="M1265" s="2" t="str">
        <f>HYPERLINK("https://docs.wto.org/imrd/directdoc.asp?DDFDocuments/v/G/SPS/NCHN711.DOC")</f>
        <v>https://docs.wto.org/imrd/directdoc.asp?DDFDocuments/v/G/SPS/NCHN711.DOC</v>
      </c>
      <c r="N1265" s="2" t="str">
        <f>HYPERLINK("http://www.epingalert.org/#/details/G/SPS/N/CHN/711")</f>
        <v>http://www.epingalert.org/#/details/G/SPS/N/CHN/711</v>
      </c>
      <c r="O1265" s="2"/>
    </row>
    <row r="1266" spans="1:15" ht="240" customHeight="1" outlineLevel="1" x14ac:dyDescent="0.25">
      <c r="A1266" s="2" t="s">
        <v>380</v>
      </c>
      <c r="B1266" s="2" t="s">
        <v>5235</v>
      </c>
      <c r="C1266" s="2" t="s">
        <v>5236</v>
      </c>
      <c r="D1266" s="2" t="s">
        <v>5237</v>
      </c>
      <c r="E1266" s="3">
        <v>42023</v>
      </c>
      <c r="F1266" s="2" t="s">
        <v>5238</v>
      </c>
      <c r="G1266" s="2"/>
      <c r="H1266" s="2" t="s">
        <v>2425</v>
      </c>
      <c r="I1266" s="2" t="s">
        <v>2426</v>
      </c>
      <c r="J1266" s="3">
        <v>42083</v>
      </c>
      <c r="K1266" s="2" t="str">
        <f>HYPERLINK("https://docs.wto.org/imrd/directdoc.asp?DDFDocuments/t/G/SPS/NCHN710.DOC")</f>
        <v>https://docs.wto.org/imrd/directdoc.asp?DDFDocuments/t/G/SPS/NCHN710.DOC</v>
      </c>
      <c r="L1266" s="2" t="str">
        <f>HYPERLINK("https://docs.wto.org/imrd/directdoc.asp?DDFDocuments/u/G/SPS/NCHN710.DOC")</f>
        <v>https://docs.wto.org/imrd/directdoc.asp?DDFDocuments/u/G/SPS/NCHN710.DOC</v>
      </c>
      <c r="M1266" s="2" t="str">
        <f>HYPERLINK("https://docs.wto.org/imrd/directdoc.asp?DDFDocuments/v/G/SPS/NCHN710.DOC")</f>
        <v>https://docs.wto.org/imrd/directdoc.asp?DDFDocuments/v/G/SPS/NCHN710.DOC</v>
      </c>
      <c r="N1266" s="2" t="str">
        <f>HYPERLINK("http://www.epingalert.org/#/details/G/SPS/N/CHN/710")</f>
        <v>http://www.epingalert.org/#/details/G/SPS/N/CHN/710</v>
      </c>
      <c r="O1266" s="2"/>
    </row>
    <row r="1267" spans="1:15" ht="240" customHeight="1" outlineLevel="1" x14ac:dyDescent="0.25">
      <c r="A1267" s="2" t="s">
        <v>380</v>
      </c>
      <c r="B1267" s="2" t="s">
        <v>5239</v>
      </c>
      <c r="C1267" s="2" t="s">
        <v>5240</v>
      </c>
      <c r="D1267" s="2" t="s">
        <v>5241</v>
      </c>
      <c r="E1267" s="3">
        <v>42023</v>
      </c>
      <c r="F1267" s="2" t="s">
        <v>5242</v>
      </c>
      <c r="G1267" s="2"/>
      <c r="H1267" s="2" t="s">
        <v>2425</v>
      </c>
      <c r="I1267" s="2" t="s">
        <v>2426</v>
      </c>
      <c r="J1267" s="3">
        <v>42083</v>
      </c>
      <c r="K1267" s="2" t="str">
        <f>HYPERLINK("https://docs.wto.org/imrd/directdoc.asp?DDFDocuments/t/G/SPS/NCHN709.DOC")</f>
        <v>https://docs.wto.org/imrd/directdoc.asp?DDFDocuments/t/G/SPS/NCHN709.DOC</v>
      </c>
      <c r="L1267" s="2" t="str">
        <f>HYPERLINK("https://docs.wto.org/imrd/directdoc.asp?DDFDocuments/u/G/SPS/NCHN709.DOC")</f>
        <v>https://docs.wto.org/imrd/directdoc.asp?DDFDocuments/u/G/SPS/NCHN709.DOC</v>
      </c>
      <c r="M1267" s="2" t="str">
        <f>HYPERLINK("https://docs.wto.org/imrd/directdoc.asp?DDFDocuments/v/G/SPS/NCHN709.DOC")</f>
        <v>https://docs.wto.org/imrd/directdoc.asp?DDFDocuments/v/G/SPS/NCHN709.DOC</v>
      </c>
      <c r="N1267" s="2" t="str">
        <f>HYPERLINK("http://www.epingalert.org/#/details/G/SPS/N/CHN/709")</f>
        <v>http://www.epingalert.org/#/details/G/SPS/N/CHN/709</v>
      </c>
      <c r="O1267" s="2"/>
    </row>
    <row r="1268" spans="1:15" ht="240" customHeight="1" outlineLevel="1" x14ac:dyDescent="0.25">
      <c r="A1268" s="2" t="s">
        <v>380</v>
      </c>
      <c r="B1268" s="2" t="s">
        <v>5243</v>
      </c>
      <c r="C1268" s="2" t="s">
        <v>5244</v>
      </c>
      <c r="D1268" s="2" t="s">
        <v>5245</v>
      </c>
      <c r="E1268" s="3">
        <v>42023</v>
      </c>
      <c r="F1268" s="2" t="s">
        <v>5246</v>
      </c>
      <c r="G1268" s="2"/>
      <c r="H1268" s="2" t="s">
        <v>2425</v>
      </c>
      <c r="I1268" s="2" t="s">
        <v>2426</v>
      </c>
      <c r="J1268" s="3">
        <v>42083</v>
      </c>
      <c r="K1268" s="2" t="str">
        <f>HYPERLINK("https://docs.wto.org/imrd/directdoc.asp?DDFDocuments/t/G/SPS/NCHN708.DOC")</f>
        <v>https://docs.wto.org/imrd/directdoc.asp?DDFDocuments/t/G/SPS/NCHN708.DOC</v>
      </c>
      <c r="L1268" s="2" t="str">
        <f>HYPERLINK("https://docs.wto.org/imrd/directdoc.asp?DDFDocuments/u/G/SPS/NCHN708.DOC")</f>
        <v>https://docs.wto.org/imrd/directdoc.asp?DDFDocuments/u/G/SPS/NCHN708.DOC</v>
      </c>
      <c r="M1268" s="2" t="str">
        <f>HYPERLINK("https://docs.wto.org/imrd/directdoc.asp?DDFDocuments/v/G/SPS/NCHN708.DOC")</f>
        <v>https://docs.wto.org/imrd/directdoc.asp?DDFDocuments/v/G/SPS/NCHN708.DOC</v>
      </c>
      <c r="N1268" s="2" t="str">
        <f>HYPERLINK("http://www.epingalert.org/#/details/G/SPS/N/CHN/708")</f>
        <v>http://www.epingalert.org/#/details/G/SPS/N/CHN/708</v>
      </c>
      <c r="O1268" s="2"/>
    </row>
    <row r="1269" spans="1:15" ht="240" customHeight="1" outlineLevel="1" x14ac:dyDescent="0.25">
      <c r="A1269" s="2" t="s">
        <v>380</v>
      </c>
      <c r="B1269" s="2" t="s">
        <v>5247</v>
      </c>
      <c r="C1269" s="2" t="s">
        <v>5248</v>
      </c>
      <c r="D1269" s="2" t="s">
        <v>5249</v>
      </c>
      <c r="E1269" s="3">
        <v>42023</v>
      </c>
      <c r="F1269" s="2" t="s">
        <v>5250</v>
      </c>
      <c r="G1269" s="2"/>
      <c r="H1269" s="2" t="s">
        <v>2425</v>
      </c>
      <c r="I1269" s="2" t="s">
        <v>2426</v>
      </c>
      <c r="J1269" s="3">
        <v>42083</v>
      </c>
      <c r="K1269" s="2" t="str">
        <f>HYPERLINK("https://docs.wto.org/imrd/directdoc.asp?DDFDocuments/t/G/SPS/NCHN707.DOC")</f>
        <v>https://docs.wto.org/imrd/directdoc.asp?DDFDocuments/t/G/SPS/NCHN707.DOC</v>
      </c>
      <c r="L1269" s="2" t="str">
        <f>HYPERLINK("https://docs.wto.org/imrd/directdoc.asp?DDFDocuments/u/G/SPS/NCHN707.DOC")</f>
        <v>https://docs.wto.org/imrd/directdoc.asp?DDFDocuments/u/G/SPS/NCHN707.DOC</v>
      </c>
      <c r="M1269" s="2" t="str">
        <f>HYPERLINK("https://docs.wto.org/imrd/directdoc.asp?DDFDocuments/v/G/SPS/NCHN707.DOC")</f>
        <v>https://docs.wto.org/imrd/directdoc.asp?DDFDocuments/v/G/SPS/NCHN707.DOC</v>
      </c>
      <c r="N1269" s="2" t="str">
        <f>HYPERLINK("http://www.epingalert.org/#/details/G/SPS/N/CHN/707")</f>
        <v>http://www.epingalert.org/#/details/G/SPS/N/CHN/707</v>
      </c>
      <c r="O1269" s="2"/>
    </row>
    <row r="1270" spans="1:15" ht="240" customHeight="1" outlineLevel="1" x14ac:dyDescent="0.25">
      <c r="A1270" s="2" t="s">
        <v>380</v>
      </c>
      <c r="B1270" s="2" t="s">
        <v>5251</v>
      </c>
      <c r="C1270" s="2" t="s">
        <v>5252</v>
      </c>
      <c r="D1270" s="2" t="s">
        <v>5253</v>
      </c>
      <c r="E1270" s="3">
        <v>42023</v>
      </c>
      <c r="F1270" s="2" t="s">
        <v>5254</v>
      </c>
      <c r="G1270" s="2"/>
      <c r="H1270" s="2" t="s">
        <v>2425</v>
      </c>
      <c r="I1270" s="2" t="s">
        <v>2426</v>
      </c>
      <c r="J1270" s="3">
        <v>42083</v>
      </c>
      <c r="K1270" s="2" t="str">
        <f>HYPERLINK("https://docs.wto.org/imrd/directdoc.asp?DDFDocuments/t/G/SPS/NCHN706.DOC")</f>
        <v>https://docs.wto.org/imrd/directdoc.asp?DDFDocuments/t/G/SPS/NCHN706.DOC</v>
      </c>
      <c r="L1270" s="2" t="str">
        <f>HYPERLINK("https://docs.wto.org/imrd/directdoc.asp?DDFDocuments/u/G/SPS/NCHN706.DOC")</f>
        <v>https://docs.wto.org/imrd/directdoc.asp?DDFDocuments/u/G/SPS/NCHN706.DOC</v>
      </c>
      <c r="M1270" s="2" t="str">
        <f>HYPERLINK("https://docs.wto.org/imrd/directdoc.asp?DDFDocuments/v/G/SPS/NCHN706.DOC")</f>
        <v>https://docs.wto.org/imrd/directdoc.asp?DDFDocuments/v/G/SPS/NCHN706.DOC</v>
      </c>
      <c r="N1270" s="2" t="str">
        <f>HYPERLINK("http://www.epingalert.org/#/details/G/SPS/N/CHN/706")</f>
        <v>http://www.epingalert.org/#/details/G/SPS/N/CHN/706</v>
      </c>
      <c r="O1270" s="2"/>
    </row>
    <row r="1271" spans="1:15" ht="240" customHeight="1" outlineLevel="1" x14ac:dyDescent="0.25">
      <c r="A1271" s="2" t="s">
        <v>380</v>
      </c>
      <c r="B1271" s="2" t="s">
        <v>5255</v>
      </c>
      <c r="C1271" s="2" t="s">
        <v>5256</v>
      </c>
      <c r="D1271" s="2" t="s">
        <v>5257</v>
      </c>
      <c r="E1271" s="3">
        <v>42023</v>
      </c>
      <c r="F1271" s="2" t="s">
        <v>5258</v>
      </c>
      <c r="G1271" s="2"/>
      <c r="H1271" s="2" t="s">
        <v>2425</v>
      </c>
      <c r="I1271" s="2" t="s">
        <v>2426</v>
      </c>
      <c r="J1271" s="3">
        <v>42083</v>
      </c>
      <c r="K1271" s="2" t="str">
        <f>HYPERLINK("https://docs.wto.org/imrd/directdoc.asp?DDFDocuments/t/G/SPS/NCHN705.DOC")</f>
        <v>https://docs.wto.org/imrd/directdoc.asp?DDFDocuments/t/G/SPS/NCHN705.DOC</v>
      </c>
      <c r="L1271" s="2" t="str">
        <f>HYPERLINK("https://docs.wto.org/imrd/directdoc.asp?DDFDocuments/u/G/SPS/NCHN705.DOC")</f>
        <v>https://docs.wto.org/imrd/directdoc.asp?DDFDocuments/u/G/SPS/NCHN705.DOC</v>
      </c>
      <c r="M1271" s="2" t="str">
        <f>HYPERLINK("https://docs.wto.org/imrd/directdoc.asp?DDFDocuments/v/G/SPS/NCHN705.DOC")</f>
        <v>https://docs.wto.org/imrd/directdoc.asp?DDFDocuments/v/G/SPS/NCHN705.DOC</v>
      </c>
      <c r="N1271" s="2" t="str">
        <f>HYPERLINK("http://www.epingalert.org/#/details/G/SPS/N/CHN/705")</f>
        <v>http://www.epingalert.org/#/details/G/SPS/N/CHN/705</v>
      </c>
      <c r="O1271" s="2"/>
    </row>
    <row r="1272" spans="1:15" ht="240" customHeight="1" outlineLevel="1" x14ac:dyDescent="0.25">
      <c r="A1272" s="2" t="s">
        <v>380</v>
      </c>
      <c r="B1272" s="2" t="s">
        <v>5259</v>
      </c>
      <c r="C1272" s="2" t="s">
        <v>5260</v>
      </c>
      <c r="D1272" s="2" t="s">
        <v>5261</v>
      </c>
      <c r="E1272" s="3">
        <v>42023</v>
      </c>
      <c r="F1272" s="2" t="s">
        <v>5262</v>
      </c>
      <c r="G1272" s="2"/>
      <c r="H1272" s="2" t="s">
        <v>2425</v>
      </c>
      <c r="I1272" s="2" t="s">
        <v>2426</v>
      </c>
      <c r="J1272" s="3">
        <v>42083</v>
      </c>
      <c r="K1272" s="2" t="str">
        <f>HYPERLINK("https://docs.wto.org/imrd/directdoc.asp?DDFDocuments/t/G/SPS/NCHN704.DOC")</f>
        <v>https://docs.wto.org/imrd/directdoc.asp?DDFDocuments/t/G/SPS/NCHN704.DOC</v>
      </c>
      <c r="L1272" s="2" t="str">
        <f>HYPERLINK("https://docs.wto.org/imrd/directdoc.asp?DDFDocuments/u/G/SPS/NCHN704.DOC")</f>
        <v>https://docs.wto.org/imrd/directdoc.asp?DDFDocuments/u/G/SPS/NCHN704.DOC</v>
      </c>
      <c r="M1272" s="2" t="str">
        <f>HYPERLINK("https://docs.wto.org/imrd/directdoc.asp?DDFDocuments/v/G/SPS/NCHN704.DOC")</f>
        <v>https://docs.wto.org/imrd/directdoc.asp?DDFDocuments/v/G/SPS/NCHN704.DOC</v>
      </c>
      <c r="N1272" s="2" t="str">
        <f>HYPERLINK("http://www.epingalert.org/#/details/G/SPS/N/CHN/704")</f>
        <v>http://www.epingalert.org/#/details/G/SPS/N/CHN/704</v>
      </c>
      <c r="O1272" s="2"/>
    </row>
    <row r="1273" spans="1:15" ht="240" customHeight="1" outlineLevel="1" x14ac:dyDescent="0.25">
      <c r="A1273" s="2" t="s">
        <v>380</v>
      </c>
      <c r="B1273" s="2" t="s">
        <v>5263</v>
      </c>
      <c r="C1273" s="2" t="s">
        <v>5264</v>
      </c>
      <c r="D1273" s="2" t="s">
        <v>5265</v>
      </c>
      <c r="E1273" s="3">
        <v>42023</v>
      </c>
      <c r="F1273" s="2" t="s">
        <v>5266</v>
      </c>
      <c r="G1273" s="2"/>
      <c r="H1273" s="2" t="s">
        <v>2425</v>
      </c>
      <c r="I1273" s="2" t="s">
        <v>2426</v>
      </c>
      <c r="J1273" s="3">
        <v>42083</v>
      </c>
      <c r="K1273" s="2" t="str">
        <f>HYPERLINK("https://docs.wto.org/imrd/directdoc.asp?DDFDocuments/t/G/SPS/NCHN703.DOC")</f>
        <v>https://docs.wto.org/imrd/directdoc.asp?DDFDocuments/t/G/SPS/NCHN703.DOC</v>
      </c>
      <c r="L1273" s="2" t="str">
        <f>HYPERLINK("https://docs.wto.org/imrd/directdoc.asp?DDFDocuments/u/G/SPS/NCHN703.DOC")</f>
        <v>https://docs.wto.org/imrd/directdoc.asp?DDFDocuments/u/G/SPS/NCHN703.DOC</v>
      </c>
      <c r="M1273" s="2" t="str">
        <f>HYPERLINK("https://docs.wto.org/imrd/directdoc.asp?DDFDocuments/v/G/SPS/NCHN703.DOC")</f>
        <v>https://docs.wto.org/imrd/directdoc.asp?DDFDocuments/v/G/SPS/NCHN703.DOC</v>
      </c>
      <c r="N1273" s="2" t="str">
        <f>HYPERLINK("http://www.epingalert.org/#/details/G/SPS/N/CHN/703")</f>
        <v>http://www.epingalert.org/#/details/G/SPS/N/CHN/703</v>
      </c>
      <c r="O1273" s="2"/>
    </row>
    <row r="1274" spans="1:15" ht="240" customHeight="1" outlineLevel="1" x14ac:dyDescent="0.25">
      <c r="A1274" s="2" t="s">
        <v>25</v>
      </c>
      <c r="B1274" s="2" t="s">
        <v>7945</v>
      </c>
      <c r="C1274" s="2" t="s">
        <v>5705</v>
      </c>
      <c r="D1274" s="2" t="s">
        <v>7946</v>
      </c>
      <c r="E1274" s="3">
        <v>42023</v>
      </c>
      <c r="F1274" s="2" t="s">
        <v>5707</v>
      </c>
      <c r="G1274" s="2" t="s">
        <v>7947</v>
      </c>
      <c r="H1274" s="2" t="s">
        <v>2425</v>
      </c>
      <c r="I1274" s="2" t="s">
        <v>2461</v>
      </c>
      <c r="J1274" s="3">
        <v>42083</v>
      </c>
      <c r="K1274" s="2" t="str">
        <f>HYPERLINK("https://docs.wto.org/imrd/directdoc.asp?DDFDocuments/t/G/SPS/NKOR493.DOC")</f>
        <v>https://docs.wto.org/imrd/directdoc.asp?DDFDocuments/t/G/SPS/NKOR493.DOC</v>
      </c>
      <c r="L1274" s="2" t="str">
        <f>HYPERLINK("https://docs.wto.org/imrd/directdoc.asp?DDFDocuments/u/G/SPS/NKOR493.DOC")</f>
        <v>https://docs.wto.org/imrd/directdoc.asp?DDFDocuments/u/G/SPS/NKOR493.DOC</v>
      </c>
      <c r="M1274" s="2" t="str">
        <f>HYPERLINK("https://docs.wto.org/imrd/directdoc.asp?DDFDocuments/v/G/SPS/NKOR493.DOC")</f>
        <v>https://docs.wto.org/imrd/directdoc.asp?DDFDocuments/v/G/SPS/NKOR493.DOC</v>
      </c>
      <c r="N1274" s="2" t="str">
        <f>HYPERLINK("http://www.epingalert.org/#/details/G/SPS/N/KOR/493")</f>
        <v>http://www.epingalert.org/#/details/G/SPS/N/KOR/493</v>
      </c>
      <c r="O1274" s="2"/>
    </row>
    <row r="1275" spans="1:15" ht="240" customHeight="1" outlineLevel="1" x14ac:dyDescent="0.25">
      <c r="A1275" s="2" t="s">
        <v>18</v>
      </c>
      <c r="B1275" s="2" t="s">
        <v>5267</v>
      </c>
      <c r="C1275" s="2" t="s">
        <v>5268</v>
      </c>
      <c r="D1275" s="2" t="s">
        <v>5269</v>
      </c>
      <c r="E1275" s="3">
        <v>42020</v>
      </c>
      <c r="F1275" s="2" t="s">
        <v>2816</v>
      </c>
      <c r="G1275" s="2"/>
      <c r="H1275" s="2" t="s">
        <v>2425</v>
      </c>
      <c r="I1275" s="2" t="s">
        <v>2817</v>
      </c>
      <c r="J1275" s="2"/>
      <c r="K1275" s="2" t="str">
        <f>HYPERLINK("https://docs.wto.org/imrd/directdoc.asp?DDFDocuments/t/G/SPS/NUSA2726.DOC")</f>
        <v>https://docs.wto.org/imrd/directdoc.asp?DDFDocuments/t/G/SPS/NUSA2726.DOC</v>
      </c>
      <c r="L1275" s="2" t="str">
        <f>HYPERLINK("https://docs.wto.org/imrd/directdoc.asp?DDFDocuments/u/G/SPS/NUSA2726.DOC")</f>
        <v>https://docs.wto.org/imrd/directdoc.asp?DDFDocuments/u/G/SPS/NUSA2726.DOC</v>
      </c>
      <c r="M1275" s="2" t="str">
        <f>HYPERLINK("https://docs.wto.org/imrd/directdoc.asp?DDFDocuments/v/G/SPS/NUSA2726.DOC")</f>
        <v>https://docs.wto.org/imrd/directdoc.asp?DDFDocuments/v/G/SPS/NUSA2726.DOC</v>
      </c>
      <c r="N1275" s="2" t="str">
        <f>HYPERLINK("http://www.epingalert.org/#/details/G/SPS/N/USA/2726")</f>
        <v>http://www.epingalert.org/#/details/G/SPS/N/USA/2726</v>
      </c>
      <c r="O1275" s="2"/>
    </row>
    <row r="1276" spans="1:15" ht="240" customHeight="1" outlineLevel="1" x14ac:dyDescent="0.25">
      <c r="A1276" s="2" t="s">
        <v>1042</v>
      </c>
      <c r="B1276" s="2" t="s">
        <v>7948</v>
      </c>
      <c r="C1276" s="2" t="s">
        <v>7949</v>
      </c>
      <c r="D1276" s="2" t="s">
        <v>7950</v>
      </c>
      <c r="E1276" s="3">
        <v>42018</v>
      </c>
      <c r="F1276" s="2" t="s">
        <v>7951</v>
      </c>
      <c r="G1276" s="2" t="s">
        <v>2399</v>
      </c>
      <c r="H1276" s="2" t="s">
        <v>2425</v>
      </c>
      <c r="I1276" s="2" t="s">
        <v>7206</v>
      </c>
      <c r="J1276" s="3">
        <v>42079</v>
      </c>
      <c r="K1276" s="2" t="str">
        <f>HYPERLINK("https://docs.wto.org/imrd/directdoc.asp?DDFDocuments/t/G/SPS/NPHL269.DOC")</f>
        <v>https://docs.wto.org/imrd/directdoc.asp?DDFDocuments/t/G/SPS/NPHL269.DOC</v>
      </c>
      <c r="L1276" s="2" t="str">
        <f>HYPERLINK("https://docs.wto.org/imrd/directdoc.asp?DDFDocuments/u/G/SPS/NPHL269.DOC")</f>
        <v>https://docs.wto.org/imrd/directdoc.asp?DDFDocuments/u/G/SPS/NPHL269.DOC</v>
      </c>
      <c r="M1276" s="2" t="str">
        <f>HYPERLINK("https://docs.wto.org/imrd/directdoc.asp?DDFDocuments/v/G/SPS/NPHL269.DOC")</f>
        <v>https://docs.wto.org/imrd/directdoc.asp?DDFDocuments/v/G/SPS/NPHL269.DOC</v>
      </c>
      <c r="N1276" s="2" t="str">
        <f>HYPERLINK("http://www.epingalert.org/#/details/G/SPS/N/PHL/269")</f>
        <v>http://www.epingalert.org/#/details/G/SPS/N/PHL/269</v>
      </c>
      <c r="O1276" s="2"/>
    </row>
    <row r="1277" spans="1:15" ht="240" customHeight="1" outlineLevel="1" x14ac:dyDescent="0.25">
      <c r="A1277" s="2" t="s">
        <v>18</v>
      </c>
      <c r="B1277" s="2" t="s">
        <v>7952</v>
      </c>
      <c r="C1277" s="2" t="s">
        <v>7953</v>
      </c>
      <c r="D1277" s="2" t="s">
        <v>7954</v>
      </c>
      <c r="E1277" s="3">
        <v>42017</v>
      </c>
      <c r="F1277" s="2" t="s">
        <v>7955</v>
      </c>
      <c r="G1277" s="2" t="s">
        <v>7473</v>
      </c>
      <c r="H1277" s="2" t="s">
        <v>2425</v>
      </c>
      <c r="I1277" s="2" t="s">
        <v>7956</v>
      </c>
      <c r="J1277" s="3">
        <v>42052</v>
      </c>
      <c r="K1277" s="2" t="str">
        <f>HYPERLINK("https://docs.wto.org/imrd/directdoc.asp?DDFDocuments/t/G/SPS/NUSA2724.DOC")</f>
        <v>https://docs.wto.org/imrd/directdoc.asp?DDFDocuments/t/G/SPS/NUSA2724.DOC</v>
      </c>
      <c r="L1277" s="2" t="str">
        <f>HYPERLINK("https://docs.wto.org/imrd/directdoc.asp?DDFDocuments/u/G/SPS/NUSA2724.DOC")</f>
        <v>https://docs.wto.org/imrd/directdoc.asp?DDFDocuments/u/G/SPS/NUSA2724.DOC</v>
      </c>
      <c r="M1277" s="2" t="str">
        <f>HYPERLINK("https://docs.wto.org/imrd/directdoc.asp?DDFDocuments/v/G/SPS/NUSA2724.DOC")</f>
        <v>https://docs.wto.org/imrd/directdoc.asp?DDFDocuments/v/G/SPS/NUSA2724.DOC</v>
      </c>
      <c r="N1277" s="2" t="str">
        <f>HYPERLINK("http://www.epingalert.org/#/details/G/SPS/N/USA/2724")</f>
        <v>http://www.epingalert.org/#/details/G/SPS/N/USA/2724</v>
      </c>
      <c r="O1277" s="2"/>
    </row>
    <row r="1278" spans="1:15" ht="240" customHeight="1" outlineLevel="1" x14ac:dyDescent="0.25">
      <c r="A1278" s="2" t="s">
        <v>179</v>
      </c>
      <c r="B1278" s="2" t="s">
        <v>5270</v>
      </c>
      <c r="C1278" s="2" t="s">
        <v>5271</v>
      </c>
      <c r="D1278" s="2" t="s">
        <v>5272</v>
      </c>
      <c r="E1278" s="3">
        <v>42016</v>
      </c>
      <c r="F1278" s="2" t="s">
        <v>5273</v>
      </c>
      <c r="G1278" s="2"/>
      <c r="H1278" s="2" t="s">
        <v>2425</v>
      </c>
      <c r="I1278" s="2" t="s">
        <v>2548</v>
      </c>
      <c r="J1278" s="3">
        <v>42076</v>
      </c>
      <c r="K1278" s="2" t="str">
        <f>HYPERLINK("https://docs.wto.org/imrd/directdoc.asp?DDFDocuments/t/G/SPS/NOMN54.DOC")</f>
        <v>https://docs.wto.org/imrd/directdoc.asp?DDFDocuments/t/G/SPS/NOMN54.DOC</v>
      </c>
      <c r="L1278" s="2" t="str">
        <f>HYPERLINK("https://docs.wto.org/imrd/directdoc.asp?DDFDocuments/u/G/SPS/NOMN54.DOC")</f>
        <v>https://docs.wto.org/imrd/directdoc.asp?DDFDocuments/u/G/SPS/NOMN54.DOC</v>
      </c>
      <c r="M1278" s="2" t="str">
        <f>HYPERLINK("https://docs.wto.org/imrd/directdoc.asp?DDFDocuments/v/G/SPS/NOMN54.DOC")</f>
        <v>https://docs.wto.org/imrd/directdoc.asp?DDFDocuments/v/G/SPS/NOMN54.DOC</v>
      </c>
      <c r="N1278" s="2" t="str">
        <f>HYPERLINK("http://www.epingalert.org/#/details/G/SPS/N/OMN/54")</f>
        <v>http://www.epingalert.org/#/details/G/SPS/N/OMN/54</v>
      </c>
      <c r="O1278" s="2"/>
    </row>
    <row r="1279" spans="1:15" ht="240" customHeight="1" outlineLevel="1" x14ac:dyDescent="0.25">
      <c r="A1279" s="2" t="s">
        <v>154</v>
      </c>
      <c r="B1279" s="2" t="s">
        <v>5274</v>
      </c>
      <c r="C1279" s="2" t="s">
        <v>5275</v>
      </c>
      <c r="D1279" s="2" t="s">
        <v>5276</v>
      </c>
      <c r="E1279" s="3">
        <v>42016</v>
      </c>
      <c r="F1279" s="2" t="s">
        <v>5277</v>
      </c>
      <c r="G1279" s="2"/>
      <c r="H1279" s="2" t="s">
        <v>2425</v>
      </c>
      <c r="I1279" s="2" t="s">
        <v>2597</v>
      </c>
      <c r="J1279" s="3">
        <v>42076</v>
      </c>
      <c r="K1279" s="2" t="str">
        <f>HYPERLINK("https://docs.wto.org/imrd/directdoc.asp?DDFDocuments/t/G/SPS/NIDN97.DOC")</f>
        <v>https://docs.wto.org/imrd/directdoc.asp?DDFDocuments/t/G/SPS/NIDN97.DOC</v>
      </c>
      <c r="L1279" s="2" t="str">
        <f>HYPERLINK("https://docs.wto.org/imrd/directdoc.asp?DDFDocuments/u/G/SPS/NIDN97.DOC")</f>
        <v>https://docs.wto.org/imrd/directdoc.asp?DDFDocuments/u/G/SPS/NIDN97.DOC</v>
      </c>
      <c r="M1279" s="2" t="str">
        <f>HYPERLINK("https://docs.wto.org/imrd/directdoc.asp?DDFDocuments/v/G/SPS/NIDN97.DOC")</f>
        <v>https://docs.wto.org/imrd/directdoc.asp?DDFDocuments/v/G/SPS/NIDN97.DOC</v>
      </c>
      <c r="N1279" s="2" t="str">
        <f>HYPERLINK("http://www.epingalert.org/#/details/G/SPS/N/IDN/97")</f>
        <v>http://www.epingalert.org/#/details/G/SPS/N/IDN/97</v>
      </c>
      <c r="O1279" s="2"/>
    </row>
    <row r="1280" spans="1:15" ht="240" customHeight="1" outlineLevel="1" x14ac:dyDescent="0.25">
      <c r="A1280" s="2" t="s">
        <v>25</v>
      </c>
      <c r="B1280" s="2" t="s">
        <v>5279</v>
      </c>
      <c r="C1280" s="2" t="s">
        <v>2528</v>
      </c>
      <c r="D1280" s="2" t="s">
        <v>5280</v>
      </c>
      <c r="E1280" s="3">
        <v>42013</v>
      </c>
      <c r="F1280" s="2" t="s">
        <v>299</v>
      </c>
      <c r="G1280" s="2" t="s">
        <v>3049</v>
      </c>
      <c r="H1280" s="2" t="s">
        <v>2425</v>
      </c>
      <c r="I1280" s="2" t="s">
        <v>2431</v>
      </c>
      <c r="J1280" s="3">
        <v>42073</v>
      </c>
      <c r="K1280" s="2" t="str">
        <f>HYPERLINK("https://docs.wto.org/imrd/directdoc.asp?DDFDocuments/t/G/SPS/NKOR492.DOC")</f>
        <v>https://docs.wto.org/imrd/directdoc.asp?DDFDocuments/t/G/SPS/NKOR492.DOC</v>
      </c>
      <c r="L1280" s="2" t="str">
        <f>HYPERLINK("https://docs.wto.org/imrd/directdoc.asp?DDFDocuments/u/G/SPS/NKOR492.DOC")</f>
        <v>https://docs.wto.org/imrd/directdoc.asp?DDFDocuments/u/G/SPS/NKOR492.DOC</v>
      </c>
      <c r="M1280" s="2" t="str">
        <f>HYPERLINK("https://docs.wto.org/imrd/directdoc.asp?DDFDocuments/v/G/SPS/NKOR492.DOC")</f>
        <v>https://docs.wto.org/imrd/directdoc.asp?DDFDocuments/v/G/SPS/NKOR492.DOC</v>
      </c>
      <c r="N1280" s="2" t="str">
        <f>HYPERLINK("http://www.epingalert.org/#/details/G/SPS/N/KOR/492")</f>
        <v>http://www.epingalert.org/#/details/G/SPS/N/KOR/492</v>
      </c>
      <c r="O1280" s="2"/>
    </row>
    <row r="1281" spans="1:15" ht="240" customHeight="1" outlineLevel="1" x14ac:dyDescent="0.25">
      <c r="A1281" s="2" t="s">
        <v>77</v>
      </c>
      <c r="B1281" s="2" t="s">
        <v>5281</v>
      </c>
      <c r="C1281" s="2" t="s">
        <v>5282</v>
      </c>
      <c r="D1281" s="2" t="s">
        <v>5283</v>
      </c>
      <c r="E1281" s="3">
        <v>42013</v>
      </c>
      <c r="F1281" s="2" t="s">
        <v>5284</v>
      </c>
      <c r="G1281" s="2"/>
      <c r="H1281" s="2" t="s">
        <v>2425</v>
      </c>
      <c r="I1281" s="2" t="s">
        <v>2426</v>
      </c>
      <c r="J1281" s="3">
        <v>42073</v>
      </c>
      <c r="K1281" s="2" t="str">
        <f>HYPERLINK("https://docs.wto.org/imrd/directdoc.asp?DDFDocuments/t/G/SPS/NTPKM345.DOC")</f>
        <v>https://docs.wto.org/imrd/directdoc.asp?DDFDocuments/t/G/SPS/NTPKM345.DOC</v>
      </c>
      <c r="L1281" s="2" t="str">
        <f>HYPERLINK("https://docs.wto.org/imrd/directdoc.asp?DDFDocuments/u/G/SPS/NTPKM345.DOC")</f>
        <v>https://docs.wto.org/imrd/directdoc.asp?DDFDocuments/u/G/SPS/NTPKM345.DOC</v>
      </c>
      <c r="M1281" s="2" t="str">
        <f>HYPERLINK("https://docs.wto.org/imrd/directdoc.asp?DDFDocuments/v/G/SPS/NTPKM345.DOC")</f>
        <v>https://docs.wto.org/imrd/directdoc.asp?DDFDocuments/v/G/SPS/NTPKM345.DOC</v>
      </c>
      <c r="N1281" s="2" t="str">
        <f>HYPERLINK("http://www.epingalert.org/#/details/G/SPS/N/TPKM/345")</f>
        <v>http://www.epingalert.org/#/details/G/SPS/N/TPKM/345</v>
      </c>
      <c r="O1281" s="2"/>
    </row>
    <row r="1282" spans="1:15" ht="240" customHeight="1" outlineLevel="1" x14ac:dyDescent="0.25">
      <c r="A1282" s="2" t="s">
        <v>12</v>
      </c>
      <c r="B1282" s="2" t="s">
        <v>7957</v>
      </c>
      <c r="C1282" s="2"/>
      <c r="D1282" s="2"/>
      <c r="E1282" s="3">
        <v>42013</v>
      </c>
      <c r="F1282" s="2" t="s">
        <v>7958</v>
      </c>
      <c r="G1282" s="2" t="s">
        <v>2039</v>
      </c>
      <c r="H1282" s="2" t="s">
        <v>2467</v>
      </c>
      <c r="I1282" s="2" t="s">
        <v>2491</v>
      </c>
      <c r="J1282" s="2"/>
      <c r="K1282" s="2" t="str">
        <f>HYPERLINK("https://docs.wto.org/imrd/directdoc.asp?DDFDocuments/t/G/SPS/NEU33A5.DOC")</f>
        <v>https://docs.wto.org/imrd/directdoc.asp?DDFDocuments/t/G/SPS/NEU33A5.DOC</v>
      </c>
      <c r="L1282" s="2" t="str">
        <f>HYPERLINK("https://docs.wto.org/imrd/directdoc.asp?DDFDocuments/u/G/SPS/NEU33A5.DOC")</f>
        <v>https://docs.wto.org/imrd/directdoc.asp?DDFDocuments/u/G/SPS/NEU33A5.DOC</v>
      </c>
      <c r="M1282" s="2" t="str">
        <f>HYPERLINK("https://docs.wto.org/imrd/directdoc.asp?DDFDocuments/v/G/SPS/NEU33A5.DOC")</f>
        <v>https://docs.wto.org/imrd/directdoc.asp?DDFDocuments/v/G/SPS/NEU33A5.DOC</v>
      </c>
      <c r="N1282" s="2" t="str">
        <f>HYPERLINK("http://www.epingalert.org/#/details/G/SPS/N/EU/33/Add.5")</f>
        <v>http://www.epingalert.org/#/details/G/SPS/N/EU/33/Add.5</v>
      </c>
      <c r="O1282" s="2"/>
    </row>
    <row r="1283" spans="1:15" ht="240" customHeight="1" outlineLevel="1" x14ac:dyDescent="0.25">
      <c r="A1283" s="2" t="s">
        <v>25</v>
      </c>
      <c r="B1283" s="2" t="s">
        <v>5288</v>
      </c>
      <c r="C1283" s="2" t="s">
        <v>4278</v>
      </c>
      <c r="D1283" s="2" t="s">
        <v>5289</v>
      </c>
      <c r="E1283" s="3">
        <v>42012</v>
      </c>
      <c r="F1283" s="2" t="s">
        <v>299</v>
      </c>
      <c r="G1283" s="2"/>
      <c r="H1283" s="2" t="s">
        <v>2425</v>
      </c>
      <c r="I1283" s="2" t="s">
        <v>2461</v>
      </c>
      <c r="J1283" s="3">
        <v>42022</v>
      </c>
      <c r="K1283" s="2" t="str">
        <f>HYPERLINK("https://docs.wto.org/imrd/directdoc.asp?DDFDocuments/t/G/SPS/NKOR491.DOC")</f>
        <v>https://docs.wto.org/imrd/directdoc.asp?DDFDocuments/t/G/SPS/NKOR491.DOC</v>
      </c>
      <c r="L1283" s="2" t="str">
        <f>HYPERLINK("https://docs.wto.org/imrd/directdoc.asp?DDFDocuments/u/G/SPS/NKOR491.DOC")</f>
        <v>https://docs.wto.org/imrd/directdoc.asp?DDFDocuments/u/G/SPS/NKOR491.DOC</v>
      </c>
      <c r="M1283" s="2" t="str">
        <f>HYPERLINK("https://docs.wto.org/imrd/directdoc.asp?DDFDocuments/v/G/SPS/NKOR491.DOC")</f>
        <v>https://docs.wto.org/imrd/directdoc.asp?DDFDocuments/v/G/SPS/NKOR491.DOC</v>
      </c>
      <c r="N1283" s="2" t="str">
        <f>HYPERLINK("http://www.epingalert.org/#/details/G/SPS/N/KOR/491")</f>
        <v>http://www.epingalert.org/#/details/G/SPS/N/KOR/491</v>
      </c>
      <c r="O1283" s="2"/>
    </row>
    <row r="1284" spans="1:15" ht="240" customHeight="1" outlineLevel="1" x14ac:dyDescent="0.25">
      <c r="A1284" s="2" t="s">
        <v>77</v>
      </c>
      <c r="B1284" s="2" t="s">
        <v>5285</v>
      </c>
      <c r="C1284" s="2"/>
      <c r="D1284" s="2"/>
      <c r="E1284" s="3">
        <v>42012</v>
      </c>
      <c r="F1284" s="2" t="s">
        <v>2435</v>
      </c>
      <c r="G1284" s="2"/>
      <c r="H1284" s="2" t="s">
        <v>2425</v>
      </c>
      <c r="I1284" s="2" t="s">
        <v>2444</v>
      </c>
      <c r="J1284" s="2"/>
      <c r="K1284" s="2" t="str">
        <f>HYPERLINK("https://docs.wto.org/imrd/directdoc.asp?DDFDocuments/t/G/SPS/NTPKM332A1.DOC")</f>
        <v>https://docs.wto.org/imrd/directdoc.asp?DDFDocuments/t/G/SPS/NTPKM332A1.DOC</v>
      </c>
      <c r="L1284" s="2" t="str">
        <f>HYPERLINK("https://docs.wto.org/imrd/directdoc.asp?DDFDocuments/u/G/SPS/NTPKM332A1.DOC")</f>
        <v>https://docs.wto.org/imrd/directdoc.asp?DDFDocuments/u/G/SPS/NTPKM332A1.DOC</v>
      </c>
      <c r="M1284" s="2" t="str">
        <f>HYPERLINK("https://docs.wto.org/imrd/directdoc.asp?DDFDocuments/v/G/SPS/NTPKM332A1.DOC")</f>
        <v>https://docs.wto.org/imrd/directdoc.asp?DDFDocuments/v/G/SPS/NTPKM332A1.DOC</v>
      </c>
      <c r="N1284" s="2" t="str">
        <f>HYPERLINK("http://www.epingalert.org/#/details/G/SPS/N/TPKM/332/Add.1")</f>
        <v>http://www.epingalert.org/#/details/G/SPS/N/TPKM/332/Add.1</v>
      </c>
      <c r="O1284" s="2"/>
    </row>
    <row r="1285" spans="1:15" ht="240" customHeight="1" outlineLevel="1" x14ac:dyDescent="0.25">
      <c r="A1285" s="2" t="s">
        <v>31</v>
      </c>
      <c r="B1285" s="2" t="s">
        <v>5286</v>
      </c>
      <c r="C1285" s="2"/>
      <c r="D1285" s="2"/>
      <c r="E1285" s="3">
        <v>42012</v>
      </c>
      <c r="F1285" s="2" t="s">
        <v>5287</v>
      </c>
      <c r="G1285" s="2"/>
      <c r="H1285" s="2" t="s">
        <v>2425</v>
      </c>
      <c r="I1285" s="2" t="s">
        <v>2444</v>
      </c>
      <c r="J1285" s="2"/>
      <c r="K1285" s="2" t="str">
        <f>HYPERLINK("https://docs.wto.org/imrd/directdoc.asp?DDFDocuments/t/G/SPS/NTHA202R3A1.DOC")</f>
        <v>https://docs.wto.org/imrd/directdoc.asp?DDFDocuments/t/G/SPS/NTHA202R3A1.DOC</v>
      </c>
      <c r="L1285" s="2" t="str">
        <f>HYPERLINK("https://docs.wto.org/imrd/directdoc.asp?DDFDocuments/u/G/SPS/NTHA202R3A1.DOC")</f>
        <v>https://docs.wto.org/imrd/directdoc.asp?DDFDocuments/u/G/SPS/NTHA202R3A1.DOC</v>
      </c>
      <c r="M1285" s="2" t="str">
        <f>HYPERLINK("https://docs.wto.org/imrd/directdoc.asp?DDFDocuments/v/G/SPS/NTHA202R3A1.DOC")</f>
        <v>https://docs.wto.org/imrd/directdoc.asp?DDFDocuments/v/G/SPS/NTHA202R3A1.DOC</v>
      </c>
      <c r="N1285" s="2" t="str">
        <f>HYPERLINK("http://www.epingalert.org/#/details/G/SPS/N/THA/202/Rev.3/Add.1")</f>
        <v>http://www.epingalert.org/#/details/G/SPS/N/THA/202/Rev.3/Add.1</v>
      </c>
      <c r="O1285" s="2"/>
    </row>
    <row r="1286" spans="1:15" ht="240" customHeight="1" outlineLevel="1" x14ac:dyDescent="0.25">
      <c r="A1286" s="2" t="s">
        <v>25</v>
      </c>
      <c r="B1286" s="2" t="s">
        <v>5290</v>
      </c>
      <c r="C1286" s="2" t="s">
        <v>5291</v>
      </c>
      <c r="D1286" s="2" t="s">
        <v>5292</v>
      </c>
      <c r="E1286" s="3">
        <v>42012</v>
      </c>
      <c r="F1286" s="2" t="s">
        <v>5293</v>
      </c>
      <c r="G1286" s="2"/>
      <c r="H1286" s="2" t="s">
        <v>2425</v>
      </c>
      <c r="I1286" s="2" t="s">
        <v>2461</v>
      </c>
      <c r="J1286" s="2"/>
      <c r="K1286" s="2" t="str">
        <f>HYPERLINK("https://docs.wto.org/imrd/directdoc.asp?DDFDocuments/t/G/SPS/NKOR490.DOC")</f>
        <v>https://docs.wto.org/imrd/directdoc.asp?DDFDocuments/t/G/SPS/NKOR490.DOC</v>
      </c>
      <c r="L1286" s="2" t="str">
        <f>HYPERLINK("https://docs.wto.org/imrd/directdoc.asp?DDFDocuments/u/G/SPS/NKOR490.DOC")</f>
        <v>https://docs.wto.org/imrd/directdoc.asp?DDFDocuments/u/G/SPS/NKOR490.DOC</v>
      </c>
      <c r="M1286" s="2" t="str">
        <f>HYPERLINK("https://docs.wto.org/imrd/directdoc.asp?DDFDocuments/v/G/SPS/NKOR490.DOC")</f>
        <v>https://docs.wto.org/imrd/directdoc.asp?DDFDocuments/v/G/SPS/NKOR490.DOC</v>
      </c>
      <c r="N1286" s="2" t="str">
        <f>HYPERLINK("http://www.epingalert.org/#/details/G/SPS/N/KOR/490")</f>
        <v>http://www.epingalert.org/#/details/G/SPS/N/KOR/490</v>
      </c>
      <c r="O1286" s="2"/>
    </row>
    <row r="1287" spans="1:15" ht="240" customHeight="1" outlineLevel="1" x14ac:dyDescent="0.25">
      <c r="A1287" s="2" t="s">
        <v>1042</v>
      </c>
      <c r="B1287" s="2" t="s">
        <v>7959</v>
      </c>
      <c r="C1287" s="2" t="s">
        <v>7960</v>
      </c>
      <c r="D1287" s="2" t="s">
        <v>7961</v>
      </c>
      <c r="E1287" s="3">
        <v>42011</v>
      </c>
      <c r="F1287" s="2" t="s">
        <v>7962</v>
      </c>
      <c r="G1287" s="2" t="s">
        <v>7963</v>
      </c>
      <c r="H1287" s="2" t="s">
        <v>2425</v>
      </c>
      <c r="I1287" s="2" t="s">
        <v>7964</v>
      </c>
      <c r="J1287" s="3">
        <v>42058</v>
      </c>
      <c r="K1287" s="2" t="str">
        <f>HYPERLINK("https://docs.wto.org/imrd/directdoc.asp?DDFDocuments/t/G/SPS/NPHL262.DOC")</f>
        <v>https://docs.wto.org/imrd/directdoc.asp?DDFDocuments/t/G/SPS/NPHL262.DOC</v>
      </c>
      <c r="L1287" s="2" t="str">
        <f>HYPERLINK("https://docs.wto.org/imrd/directdoc.asp?DDFDocuments/u/G/SPS/NPHL262.DOC")</f>
        <v>https://docs.wto.org/imrd/directdoc.asp?DDFDocuments/u/G/SPS/NPHL262.DOC</v>
      </c>
      <c r="M1287" s="2" t="str">
        <f>HYPERLINK("https://docs.wto.org/imrd/directdoc.asp?DDFDocuments/v/G/SPS/NPHL262.DOC")</f>
        <v>https://docs.wto.org/imrd/directdoc.asp?DDFDocuments/v/G/SPS/NPHL262.DOC</v>
      </c>
      <c r="N1287" s="2" t="str">
        <f>HYPERLINK("http://www.epingalert.org/#/details/G/SPS/N/PHL/262")</f>
        <v>http://www.epingalert.org/#/details/G/SPS/N/PHL/262</v>
      </c>
      <c r="O1287" s="2"/>
    </row>
    <row r="1288" spans="1:15" ht="240" customHeight="1" outlineLevel="1" x14ac:dyDescent="0.25">
      <c r="A1288" s="2" t="s">
        <v>1042</v>
      </c>
      <c r="B1288" s="2" t="s">
        <v>7965</v>
      </c>
      <c r="C1288" s="2" t="s">
        <v>7966</v>
      </c>
      <c r="D1288" s="2" t="s">
        <v>7967</v>
      </c>
      <c r="E1288" s="3">
        <v>42011</v>
      </c>
      <c r="F1288" s="2" t="s">
        <v>7962</v>
      </c>
      <c r="G1288" s="2" t="s">
        <v>7963</v>
      </c>
      <c r="H1288" s="2" t="s">
        <v>2425</v>
      </c>
      <c r="I1288" s="2" t="s">
        <v>2461</v>
      </c>
      <c r="J1288" s="3">
        <v>42058</v>
      </c>
      <c r="K1288" s="2" t="str">
        <f>HYPERLINK("https://docs.wto.org/imrd/directdoc.asp?DDFDocuments/t/G/SPS/NPHL263.DOC")</f>
        <v>https://docs.wto.org/imrd/directdoc.asp?DDFDocuments/t/G/SPS/NPHL263.DOC</v>
      </c>
      <c r="L1288" s="2" t="str">
        <f>HYPERLINK("https://docs.wto.org/imrd/directdoc.asp?DDFDocuments/u/G/SPS/NPHL263.DOC")</f>
        <v>https://docs.wto.org/imrd/directdoc.asp?DDFDocuments/u/G/SPS/NPHL263.DOC</v>
      </c>
      <c r="M1288" s="2" t="str">
        <f>HYPERLINK("https://docs.wto.org/imrd/directdoc.asp?DDFDocuments/v/G/SPS/NPHL263.DOC")</f>
        <v>https://docs.wto.org/imrd/directdoc.asp?DDFDocuments/v/G/SPS/NPHL263.DOC</v>
      </c>
      <c r="N1288" s="2" t="str">
        <f>HYPERLINK("http://www.epingalert.org/#/details/G/SPS/N/PHL/263")</f>
        <v>http://www.epingalert.org/#/details/G/SPS/N/PHL/263</v>
      </c>
      <c r="O1288" s="2"/>
    </row>
    <row r="1289" spans="1:15" ht="240" customHeight="1" outlineLevel="1" x14ac:dyDescent="0.25">
      <c r="A1289" s="2" t="s">
        <v>25</v>
      </c>
      <c r="B1289" s="2" t="s">
        <v>5294</v>
      </c>
      <c r="C1289" s="2" t="s">
        <v>5295</v>
      </c>
      <c r="D1289" s="2" t="s">
        <v>5296</v>
      </c>
      <c r="E1289" s="3">
        <v>42011</v>
      </c>
      <c r="F1289" s="2" t="s">
        <v>5293</v>
      </c>
      <c r="G1289" s="2"/>
      <c r="H1289" s="2" t="s">
        <v>2425</v>
      </c>
      <c r="I1289" s="2" t="s">
        <v>2461</v>
      </c>
      <c r="J1289" s="3">
        <v>42030</v>
      </c>
      <c r="K1289" s="2" t="str">
        <f>HYPERLINK("https://docs.wto.org/imrd/directdoc.asp?DDFDocuments/t/G/SPS/NKOR489.DOC")</f>
        <v>https://docs.wto.org/imrd/directdoc.asp?DDFDocuments/t/G/SPS/NKOR489.DOC</v>
      </c>
      <c r="L1289" s="2" t="str">
        <f>HYPERLINK("https://docs.wto.org/imrd/directdoc.asp?DDFDocuments/u/G/SPS/NKOR489.DOC")</f>
        <v>https://docs.wto.org/imrd/directdoc.asp?DDFDocuments/u/G/SPS/NKOR489.DOC</v>
      </c>
      <c r="M1289" s="2" t="str">
        <f>HYPERLINK("https://docs.wto.org/imrd/directdoc.asp?DDFDocuments/v/G/SPS/NKOR489.DOC")</f>
        <v>https://docs.wto.org/imrd/directdoc.asp?DDFDocuments/v/G/SPS/NKOR489.DOC</v>
      </c>
      <c r="N1289" s="2" t="str">
        <f>HYPERLINK("http://www.epingalert.org/#/details/G/SPS/N/KOR/489")</f>
        <v>http://www.epingalert.org/#/details/G/SPS/N/KOR/489</v>
      </c>
      <c r="O1289" s="2"/>
    </row>
    <row r="1290" spans="1:15" ht="240" customHeight="1" outlineLevel="1" x14ac:dyDescent="0.25">
      <c r="A1290" s="2" t="s">
        <v>154</v>
      </c>
      <c r="B1290" s="2" t="s">
        <v>5297</v>
      </c>
      <c r="C1290" s="2" t="s">
        <v>5298</v>
      </c>
      <c r="D1290" s="2" t="s">
        <v>5299</v>
      </c>
      <c r="E1290" s="3">
        <v>42011</v>
      </c>
      <c r="F1290" s="2" t="s">
        <v>5300</v>
      </c>
      <c r="G1290" s="2"/>
      <c r="H1290" s="2" t="s">
        <v>2425</v>
      </c>
      <c r="I1290" s="2" t="s">
        <v>2426</v>
      </c>
      <c r="J1290" s="2"/>
      <c r="K1290" s="2" t="str">
        <f>HYPERLINK("https://docs.wto.org/imrd/directdoc.asp?DDFDocuments/t/G/SPS/NIDN96.DOC")</f>
        <v>https://docs.wto.org/imrd/directdoc.asp?DDFDocuments/t/G/SPS/NIDN96.DOC</v>
      </c>
      <c r="L1290" s="2" t="str">
        <f>HYPERLINK("https://docs.wto.org/imrd/directdoc.asp?DDFDocuments/u/G/SPS/NIDN96.DOC")</f>
        <v>https://docs.wto.org/imrd/directdoc.asp?DDFDocuments/u/G/SPS/NIDN96.DOC</v>
      </c>
      <c r="M1290" s="2" t="str">
        <f>HYPERLINK("https://docs.wto.org/imrd/directdoc.asp?DDFDocuments/v/G/SPS/NIDN96.DOC")</f>
        <v>https://docs.wto.org/imrd/directdoc.asp?DDFDocuments/v/G/SPS/NIDN96.DOC</v>
      </c>
      <c r="N1290" s="2" t="str">
        <f>HYPERLINK("http://www.epingalert.org/#/details/G/SPS/N/IDN/96")</f>
        <v>http://www.epingalert.org/#/details/G/SPS/N/IDN/96</v>
      </c>
      <c r="O1290" s="2"/>
    </row>
    <row r="1291" spans="1:15" ht="240" customHeight="1" outlineLevel="1" x14ac:dyDescent="0.25">
      <c r="A1291" s="2" t="s">
        <v>77</v>
      </c>
      <c r="B1291" s="2" t="s">
        <v>5301</v>
      </c>
      <c r="C1291" s="2" t="s">
        <v>5302</v>
      </c>
      <c r="D1291" s="2" t="s">
        <v>5303</v>
      </c>
      <c r="E1291" s="3">
        <v>42011</v>
      </c>
      <c r="F1291" s="2" t="s">
        <v>221</v>
      </c>
      <c r="G1291" s="2"/>
      <c r="H1291" s="2" t="s">
        <v>2425</v>
      </c>
      <c r="I1291" s="2" t="s">
        <v>5304</v>
      </c>
      <c r="J1291" s="2"/>
      <c r="K1291" s="2" t="str">
        <f>HYPERLINK("https://docs.wto.org/imrd/directdoc.asp?DDFDocuments/t/G/SPS/NTPKM342.DOC")</f>
        <v>https://docs.wto.org/imrd/directdoc.asp?DDFDocuments/t/G/SPS/NTPKM342.DOC</v>
      </c>
      <c r="L1291" s="2" t="str">
        <f>HYPERLINK("https://docs.wto.org/imrd/directdoc.asp?DDFDocuments/u/G/SPS/NTPKM342.DOC")</f>
        <v>https://docs.wto.org/imrd/directdoc.asp?DDFDocuments/u/G/SPS/NTPKM342.DOC</v>
      </c>
      <c r="M1291" s="2" t="str">
        <f>HYPERLINK("https://docs.wto.org/imrd/directdoc.asp?DDFDocuments/v/G/SPS/NTPKM342.DOC")</f>
        <v>https://docs.wto.org/imrd/directdoc.asp?DDFDocuments/v/G/SPS/NTPKM342.DOC</v>
      </c>
      <c r="N1291" s="2" t="str">
        <f>HYPERLINK("http://www.epingalert.org/#/details/G/SPS/N/TPKM/342")</f>
        <v>http://www.epingalert.org/#/details/G/SPS/N/TPKM/342</v>
      </c>
      <c r="O1291" s="2"/>
    </row>
    <row r="1292" spans="1:15" ht="240" customHeight="1" outlineLevel="1" x14ac:dyDescent="0.25">
      <c r="A1292" s="2" t="s">
        <v>1908</v>
      </c>
      <c r="B1292" s="2" t="s">
        <v>5305</v>
      </c>
      <c r="C1292" s="2"/>
      <c r="D1292" s="2"/>
      <c r="E1292" s="3">
        <v>41996</v>
      </c>
      <c r="F1292" s="2" t="s">
        <v>5306</v>
      </c>
      <c r="G1292" s="2"/>
      <c r="H1292" s="2" t="s">
        <v>2425</v>
      </c>
      <c r="I1292" s="2" t="s">
        <v>2444</v>
      </c>
      <c r="J1292" s="2"/>
      <c r="K1292" s="2" t="str">
        <f>HYPERLINK("https://docs.wto.org/imrd/directdoc.asp?DDFDocuments/t/G/SPS/NCAN871A1.DOC")</f>
        <v>https://docs.wto.org/imrd/directdoc.asp?DDFDocuments/t/G/SPS/NCAN871A1.DOC</v>
      </c>
      <c r="L1292" s="2" t="str">
        <f>HYPERLINK("https://docs.wto.org/imrd/directdoc.asp?DDFDocuments/u/G/SPS/NCAN871A1.DOC")</f>
        <v>https://docs.wto.org/imrd/directdoc.asp?DDFDocuments/u/G/SPS/NCAN871A1.DOC</v>
      </c>
      <c r="M1292" s="2" t="str">
        <f>HYPERLINK("https://docs.wto.org/imrd/directdoc.asp?DDFDocuments/v/G/SPS/NCAN871A1.DOC")</f>
        <v>https://docs.wto.org/imrd/directdoc.asp?DDFDocuments/v/G/SPS/NCAN871A1.DOC</v>
      </c>
      <c r="N1292" s="2" t="str">
        <f>HYPERLINK("http://www.epingalert.org/#/details/G/SPS/N/CAN/871/Add.1")</f>
        <v>http://www.epingalert.org/#/details/G/SPS/N/CAN/871/Add.1</v>
      </c>
      <c r="O1292" s="2"/>
    </row>
    <row r="1293" spans="1:15" ht="240" customHeight="1" outlineLevel="1" x14ac:dyDescent="0.25">
      <c r="A1293" s="2" t="s">
        <v>77</v>
      </c>
      <c r="B1293" s="2" t="s">
        <v>5308</v>
      </c>
      <c r="C1293" s="2" t="s">
        <v>5309</v>
      </c>
      <c r="D1293" s="2" t="s">
        <v>5310</v>
      </c>
      <c r="E1293" s="3">
        <v>41995</v>
      </c>
      <c r="F1293" s="2" t="s">
        <v>5311</v>
      </c>
      <c r="G1293" s="2"/>
      <c r="H1293" s="2" t="s">
        <v>2425</v>
      </c>
      <c r="I1293" s="2" t="s">
        <v>5312</v>
      </c>
      <c r="J1293" s="3">
        <v>42055</v>
      </c>
      <c r="K1293" s="2" t="str">
        <f>HYPERLINK("https://docs.wto.org/imrd/directdoc.asp?DDFDocuments/t/G/SPS/NTPKM340.DOC")</f>
        <v>https://docs.wto.org/imrd/directdoc.asp?DDFDocuments/t/G/SPS/NTPKM340.DOC</v>
      </c>
      <c r="L1293" s="2" t="str">
        <f>HYPERLINK("https://docs.wto.org/imrd/directdoc.asp?DDFDocuments/u/G/SPS/NTPKM340.DOC")</f>
        <v>https://docs.wto.org/imrd/directdoc.asp?DDFDocuments/u/G/SPS/NTPKM340.DOC</v>
      </c>
      <c r="M1293" s="2" t="str">
        <f>HYPERLINK("https://docs.wto.org/imrd/directdoc.asp?DDFDocuments/v/G/SPS/NTPKM340.DOC")</f>
        <v>https://docs.wto.org/imrd/directdoc.asp?DDFDocuments/v/G/SPS/NTPKM340.DOC</v>
      </c>
      <c r="N1293" s="2" t="str">
        <f>HYPERLINK("http://www.epingalert.org/#/details/G/SPS/N/TPKM/340")</f>
        <v>http://www.epingalert.org/#/details/G/SPS/N/TPKM/340</v>
      </c>
      <c r="O1293" s="2"/>
    </row>
    <row r="1294" spans="1:15" ht="240" customHeight="1" outlineLevel="1" x14ac:dyDescent="0.25">
      <c r="A1294" s="2" t="s">
        <v>2846</v>
      </c>
      <c r="B1294" s="2" t="s">
        <v>5307</v>
      </c>
      <c r="C1294" s="2"/>
      <c r="D1294" s="2"/>
      <c r="E1294" s="3">
        <v>41995</v>
      </c>
      <c r="F1294" s="2" t="s">
        <v>46</v>
      </c>
      <c r="G1294" s="2"/>
      <c r="H1294" s="2" t="s">
        <v>2425</v>
      </c>
      <c r="I1294" s="2" t="s">
        <v>2535</v>
      </c>
      <c r="J1294" s="2"/>
      <c r="K1294" s="2" t="str">
        <f>HYPERLINK("https://docs.wto.org/imrd/directdoc.asp?DDFDocuments/t/G/SPS/NMAC14C1.DOC")</f>
        <v>https://docs.wto.org/imrd/directdoc.asp?DDFDocuments/t/G/SPS/NMAC14C1.DOC</v>
      </c>
      <c r="L1294" s="2" t="str">
        <f>HYPERLINK("https://docs.wto.org/imrd/directdoc.asp?DDFDocuments/u/G/SPS/NMAC14C1.DOC")</f>
        <v>https://docs.wto.org/imrd/directdoc.asp?DDFDocuments/u/G/SPS/NMAC14C1.DOC</v>
      </c>
      <c r="M1294" s="2" t="str">
        <f>HYPERLINK("null")</f>
        <v>null</v>
      </c>
      <c r="N1294" s="2" t="str">
        <f>HYPERLINK("http://www.epingalert.org/#/details/G/SPS/N/MAC/14/Corr.1")</f>
        <v>http://www.epingalert.org/#/details/G/SPS/N/MAC/14/Corr.1</v>
      </c>
      <c r="O1294" s="2"/>
    </row>
    <row r="1295" spans="1:15" ht="240" customHeight="1" outlineLevel="1" x14ac:dyDescent="0.25">
      <c r="A1295" s="2" t="s">
        <v>1908</v>
      </c>
      <c r="B1295" s="2" t="s">
        <v>5313</v>
      </c>
      <c r="C1295" s="2" t="s">
        <v>5314</v>
      </c>
      <c r="D1295" s="2" t="s">
        <v>5315</v>
      </c>
      <c r="E1295" s="3">
        <v>41992</v>
      </c>
      <c r="F1295" s="2" t="s">
        <v>5316</v>
      </c>
      <c r="G1295" s="2"/>
      <c r="H1295" s="2" t="s">
        <v>2425</v>
      </c>
      <c r="I1295" s="2" t="s">
        <v>2453</v>
      </c>
      <c r="J1295" s="3">
        <v>42060</v>
      </c>
      <c r="K1295" s="2" t="str">
        <f>HYPERLINK("https://docs.wto.org/imrd/directdoc.asp?DDFDocuments/t/G/SPS/NCAN906.DOC")</f>
        <v>https://docs.wto.org/imrd/directdoc.asp?DDFDocuments/t/G/SPS/NCAN906.DOC</v>
      </c>
      <c r="L1295" s="2" t="str">
        <f>HYPERLINK("https://docs.wto.org/imrd/directdoc.asp?DDFDocuments/u/G/SPS/NCAN906.DOC")</f>
        <v>https://docs.wto.org/imrd/directdoc.asp?DDFDocuments/u/G/SPS/NCAN906.DOC</v>
      </c>
      <c r="M1295" s="2" t="str">
        <f>HYPERLINK("https://docs.wto.org/imrd/directdoc.asp?DDFDocuments/v/G/SPS/NCAN906.DOC")</f>
        <v>https://docs.wto.org/imrd/directdoc.asp?DDFDocuments/v/G/SPS/NCAN906.DOC</v>
      </c>
      <c r="N1295" s="2" t="str">
        <f>HYPERLINK("http://www.epingalert.org/#/details/G/SPS/N/CAN/906")</f>
        <v>http://www.epingalert.org/#/details/G/SPS/N/CAN/906</v>
      </c>
      <c r="O1295" s="2"/>
    </row>
    <row r="1296" spans="1:15" ht="240" customHeight="1" outlineLevel="1" x14ac:dyDescent="0.25">
      <c r="A1296" s="2" t="s">
        <v>42</v>
      </c>
      <c r="B1296" s="2" t="s">
        <v>5317</v>
      </c>
      <c r="C1296" s="2" t="s">
        <v>5318</v>
      </c>
      <c r="D1296" s="2" t="s">
        <v>5319</v>
      </c>
      <c r="E1296" s="3">
        <v>41991</v>
      </c>
      <c r="F1296" s="2" t="s">
        <v>5320</v>
      </c>
      <c r="G1296" s="2"/>
      <c r="H1296" s="2" t="s">
        <v>2425</v>
      </c>
      <c r="I1296" s="2" t="s">
        <v>2426</v>
      </c>
      <c r="J1296" s="3">
        <v>42051</v>
      </c>
      <c r="K1296" s="2" t="str">
        <f>HYPERLINK("https://docs.wto.org/imrd/directdoc.asp?DDFDocuments/t/G/SPS/NBRA1010.DOC")</f>
        <v>https://docs.wto.org/imrd/directdoc.asp?DDFDocuments/t/G/SPS/NBRA1010.DOC</v>
      </c>
      <c r="L1296" s="2" t="str">
        <f>HYPERLINK("https://docs.wto.org/imrd/directdoc.asp?DDFDocuments/u/G/SPS/NBRA1010.DOC")</f>
        <v>https://docs.wto.org/imrd/directdoc.asp?DDFDocuments/u/G/SPS/NBRA1010.DOC</v>
      </c>
      <c r="M1296" s="2" t="str">
        <f>HYPERLINK("https://docs.wto.org/imrd/directdoc.asp?DDFDocuments/v/G/SPS/NBRA1010.DOC")</f>
        <v>https://docs.wto.org/imrd/directdoc.asp?DDFDocuments/v/G/SPS/NBRA1010.DOC</v>
      </c>
      <c r="N1296" s="2" t="str">
        <f>HYPERLINK("http://www.epingalert.org/#/details/G/SPS/N/BRA/1010")</f>
        <v>http://www.epingalert.org/#/details/G/SPS/N/BRA/1010</v>
      </c>
      <c r="O1296" s="2"/>
    </row>
    <row r="1297" spans="1:15" ht="240" customHeight="1" outlineLevel="1" x14ac:dyDescent="0.25">
      <c r="A1297" s="2" t="s">
        <v>115</v>
      </c>
      <c r="B1297" s="2" t="s">
        <v>7968</v>
      </c>
      <c r="C1297" s="2" t="s">
        <v>7598</v>
      </c>
      <c r="D1297" s="2" t="s">
        <v>7969</v>
      </c>
      <c r="E1297" s="3">
        <v>41991</v>
      </c>
      <c r="F1297" s="2" t="s">
        <v>7970</v>
      </c>
      <c r="G1297" s="2" t="s">
        <v>2923</v>
      </c>
      <c r="H1297" s="2" t="s">
        <v>2425</v>
      </c>
      <c r="I1297" s="2" t="s">
        <v>2453</v>
      </c>
      <c r="J1297" s="3">
        <v>42051</v>
      </c>
      <c r="K1297" s="2" t="str">
        <f>HYPERLINK("https://docs.wto.org/imrd/directdoc.asp?DDFDocuments/t/G/SPS/NJPN388.DOC")</f>
        <v>https://docs.wto.org/imrd/directdoc.asp?DDFDocuments/t/G/SPS/NJPN388.DOC</v>
      </c>
      <c r="L1297" s="2" t="str">
        <f>HYPERLINK("https://docs.wto.org/imrd/directdoc.asp?DDFDocuments/u/G/SPS/NJPN388.DOC")</f>
        <v>https://docs.wto.org/imrd/directdoc.asp?DDFDocuments/u/G/SPS/NJPN388.DOC</v>
      </c>
      <c r="M1297" s="2" t="str">
        <f>HYPERLINK("https://docs.wto.org/imrd/directdoc.asp?DDFDocuments/v/G/SPS/NJPN388.DOC")</f>
        <v>https://docs.wto.org/imrd/directdoc.asp?DDFDocuments/v/G/SPS/NJPN388.DOC</v>
      </c>
      <c r="N1297" s="2" t="str">
        <f>HYPERLINK("http://www.epingalert.org/#/details/G/SPS/N/JPN/388")</f>
        <v>http://www.epingalert.org/#/details/G/SPS/N/JPN/388</v>
      </c>
      <c r="O1297" s="2"/>
    </row>
    <row r="1298" spans="1:15" ht="240" customHeight="1" outlineLevel="1" x14ac:dyDescent="0.25">
      <c r="A1298" s="2" t="s">
        <v>115</v>
      </c>
      <c r="B1298" s="2" t="s">
        <v>7971</v>
      </c>
      <c r="C1298" s="2" t="s">
        <v>7598</v>
      </c>
      <c r="D1298" s="2" t="s">
        <v>7972</v>
      </c>
      <c r="E1298" s="3">
        <v>41991</v>
      </c>
      <c r="F1298" s="2" t="s">
        <v>7973</v>
      </c>
      <c r="G1298" s="2" t="s">
        <v>7974</v>
      </c>
      <c r="H1298" s="2" t="s">
        <v>2425</v>
      </c>
      <c r="I1298" s="2" t="s">
        <v>2453</v>
      </c>
      <c r="J1298" s="3">
        <v>42051</v>
      </c>
      <c r="K1298" s="2" t="str">
        <f>HYPERLINK("https://docs.wto.org/imrd/directdoc.asp?DDFDocuments/t/G/SPS/NJPN387.DOC")</f>
        <v>https://docs.wto.org/imrd/directdoc.asp?DDFDocuments/t/G/SPS/NJPN387.DOC</v>
      </c>
      <c r="L1298" s="2" t="str">
        <f>HYPERLINK("https://docs.wto.org/imrd/directdoc.asp?DDFDocuments/u/G/SPS/NJPN387.DOC")</f>
        <v>https://docs.wto.org/imrd/directdoc.asp?DDFDocuments/u/G/SPS/NJPN387.DOC</v>
      </c>
      <c r="M1298" s="2" t="str">
        <f>HYPERLINK("https://docs.wto.org/imrd/directdoc.asp?DDFDocuments/v/G/SPS/NJPN387.DOC")</f>
        <v>https://docs.wto.org/imrd/directdoc.asp?DDFDocuments/v/G/SPS/NJPN387.DOC</v>
      </c>
      <c r="N1298" s="2" t="str">
        <f>HYPERLINK("http://www.epingalert.org/#/details/G/SPS/N/JPN/387")</f>
        <v>http://www.epingalert.org/#/details/G/SPS/N/JPN/387</v>
      </c>
      <c r="O1298" s="2"/>
    </row>
    <row r="1299" spans="1:15" ht="240" customHeight="1" outlineLevel="1" x14ac:dyDescent="0.25">
      <c r="A1299" s="2" t="s">
        <v>115</v>
      </c>
      <c r="B1299" s="2" t="s">
        <v>7975</v>
      </c>
      <c r="C1299" s="2" t="s">
        <v>7976</v>
      </c>
      <c r="D1299" s="2" t="s">
        <v>7977</v>
      </c>
      <c r="E1299" s="3">
        <v>41991</v>
      </c>
      <c r="F1299" s="2" t="s">
        <v>7978</v>
      </c>
      <c r="G1299" s="2" t="s">
        <v>7979</v>
      </c>
      <c r="H1299" s="2" t="s">
        <v>2425</v>
      </c>
      <c r="I1299" s="2" t="s">
        <v>2453</v>
      </c>
      <c r="J1299" s="3">
        <v>42051</v>
      </c>
      <c r="K1299" s="2" t="str">
        <f>HYPERLINK("https://docs.wto.org/imrd/directdoc.asp?DDFDocuments/t/G/SPS/NJPN386.DOC")</f>
        <v>https://docs.wto.org/imrd/directdoc.asp?DDFDocuments/t/G/SPS/NJPN386.DOC</v>
      </c>
      <c r="L1299" s="2" t="str">
        <f>HYPERLINK("https://docs.wto.org/imrd/directdoc.asp?DDFDocuments/u/G/SPS/NJPN386.DOC")</f>
        <v>https://docs.wto.org/imrd/directdoc.asp?DDFDocuments/u/G/SPS/NJPN386.DOC</v>
      </c>
      <c r="M1299" s="2" t="str">
        <f>HYPERLINK("https://docs.wto.org/imrd/directdoc.asp?DDFDocuments/v/G/SPS/NJPN386.DOC")</f>
        <v>https://docs.wto.org/imrd/directdoc.asp?DDFDocuments/v/G/SPS/NJPN386.DOC</v>
      </c>
      <c r="N1299" s="2" t="str">
        <f>HYPERLINK("http://www.epingalert.org/#/details/G/SPS/N/JPN/386")</f>
        <v>http://www.epingalert.org/#/details/G/SPS/N/JPN/386</v>
      </c>
      <c r="O1299" s="2"/>
    </row>
    <row r="1300" spans="1:15" ht="240" customHeight="1" outlineLevel="1" x14ac:dyDescent="0.25">
      <c r="A1300" s="2" t="s">
        <v>115</v>
      </c>
      <c r="B1300" s="2" t="s">
        <v>7980</v>
      </c>
      <c r="C1300" s="2" t="s">
        <v>7976</v>
      </c>
      <c r="D1300" s="2" t="s">
        <v>7981</v>
      </c>
      <c r="E1300" s="3">
        <v>41991</v>
      </c>
      <c r="F1300" s="2" t="s">
        <v>7982</v>
      </c>
      <c r="G1300" s="2" t="s">
        <v>7983</v>
      </c>
      <c r="H1300" s="2" t="s">
        <v>2425</v>
      </c>
      <c r="I1300" s="2" t="s">
        <v>2453</v>
      </c>
      <c r="J1300" s="3">
        <v>42051</v>
      </c>
      <c r="K1300" s="2" t="str">
        <f>HYPERLINK("https://docs.wto.org/imrd/directdoc.asp?DDFDocuments/t/G/SPS/NJPN385.DOC")</f>
        <v>https://docs.wto.org/imrd/directdoc.asp?DDFDocuments/t/G/SPS/NJPN385.DOC</v>
      </c>
      <c r="L1300" s="2" t="str">
        <f>HYPERLINK("https://docs.wto.org/imrd/directdoc.asp?DDFDocuments/u/G/SPS/NJPN385.DOC")</f>
        <v>https://docs.wto.org/imrd/directdoc.asp?DDFDocuments/u/G/SPS/NJPN385.DOC</v>
      </c>
      <c r="M1300" s="2" t="str">
        <f>HYPERLINK("https://docs.wto.org/imrd/directdoc.asp?DDFDocuments/v/G/SPS/NJPN385.DOC")</f>
        <v>https://docs.wto.org/imrd/directdoc.asp?DDFDocuments/v/G/SPS/NJPN385.DOC</v>
      </c>
      <c r="N1300" s="2" t="str">
        <f>HYPERLINK("http://www.epingalert.org/#/details/G/SPS/N/JPN/385")</f>
        <v>http://www.epingalert.org/#/details/G/SPS/N/JPN/385</v>
      </c>
      <c r="O1300" s="2"/>
    </row>
    <row r="1301" spans="1:15" ht="240" customHeight="1" outlineLevel="1" x14ac:dyDescent="0.25">
      <c r="A1301" s="2" t="s">
        <v>115</v>
      </c>
      <c r="B1301" s="2" t="s">
        <v>7984</v>
      </c>
      <c r="C1301" s="2" t="s">
        <v>7598</v>
      </c>
      <c r="D1301" s="2" t="s">
        <v>7985</v>
      </c>
      <c r="E1301" s="3">
        <v>41991</v>
      </c>
      <c r="F1301" s="2" t="s">
        <v>7608</v>
      </c>
      <c r="G1301" s="2" t="s">
        <v>7986</v>
      </c>
      <c r="H1301" s="2" t="s">
        <v>2425</v>
      </c>
      <c r="I1301" s="2" t="s">
        <v>2453</v>
      </c>
      <c r="J1301" s="3">
        <v>42051</v>
      </c>
      <c r="K1301" s="2" t="str">
        <f>HYPERLINK("https://docs.wto.org/imrd/directdoc.asp?DDFDocuments/t/G/SPS/NJPN384.DOC")</f>
        <v>https://docs.wto.org/imrd/directdoc.asp?DDFDocuments/t/G/SPS/NJPN384.DOC</v>
      </c>
      <c r="L1301" s="2" t="str">
        <f>HYPERLINK("https://docs.wto.org/imrd/directdoc.asp?DDFDocuments/u/G/SPS/NJPN384.DOC")</f>
        <v>https://docs.wto.org/imrd/directdoc.asp?DDFDocuments/u/G/SPS/NJPN384.DOC</v>
      </c>
      <c r="M1301" s="2" t="str">
        <f>HYPERLINK("https://docs.wto.org/imrd/directdoc.asp?DDFDocuments/v/G/SPS/NJPN384.DOC")</f>
        <v>https://docs.wto.org/imrd/directdoc.asp?DDFDocuments/v/G/SPS/NJPN384.DOC</v>
      </c>
      <c r="N1301" s="2" t="str">
        <f>HYPERLINK("http://www.epingalert.org/#/details/G/SPS/N/JPN/384")</f>
        <v>http://www.epingalert.org/#/details/G/SPS/N/JPN/384</v>
      </c>
      <c r="O1301" s="2"/>
    </row>
    <row r="1302" spans="1:15" ht="240" customHeight="1" outlineLevel="1" x14ac:dyDescent="0.25">
      <c r="A1302" s="2" t="s">
        <v>2544</v>
      </c>
      <c r="B1302" s="2" t="s">
        <v>7987</v>
      </c>
      <c r="C1302" s="2" t="s">
        <v>7988</v>
      </c>
      <c r="D1302" s="2" t="s">
        <v>7989</v>
      </c>
      <c r="E1302" s="3">
        <v>41991</v>
      </c>
      <c r="F1302" s="2" t="s">
        <v>7990</v>
      </c>
      <c r="G1302" s="2" t="s">
        <v>6227</v>
      </c>
      <c r="H1302" s="2" t="s">
        <v>2467</v>
      </c>
      <c r="I1302" s="2" t="s">
        <v>2467</v>
      </c>
      <c r="J1302" s="3">
        <v>42051</v>
      </c>
      <c r="K1302" s="2" t="str">
        <f>HYPERLINK("https://docs.wto.org/imrd/directdoc.asp?DDFDocuments/t/G/SPS/NCHL490.DOC")</f>
        <v>https://docs.wto.org/imrd/directdoc.asp?DDFDocuments/t/G/SPS/NCHL490.DOC</v>
      </c>
      <c r="L1302" s="2" t="str">
        <f>HYPERLINK("https://docs.wto.org/imrd/directdoc.asp?DDFDocuments/u/G/SPS/NCHL490.DOC")</f>
        <v>https://docs.wto.org/imrd/directdoc.asp?DDFDocuments/u/G/SPS/NCHL490.DOC</v>
      </c>
      <c r="M1302" s="2" t="str">
        <f>HYPERLINK("https://docs.wto.org/imrd/directdoc.asp?DDFDocuments/v/G/SPS/NCHL490.DOC")</f>
        <v>https://docs.wto.org/imrd/directdoc.asp?DDFDocuments/v/G/SPS/NCHL490.DOC</v>
      </c>
      <c r="N1302" s="2" t="str">
        <f>HYPERLINK("http://www.epingalert.org/#/details/G/SPS/N/CHL/490")</f>
        <v>http://www.epingalert.org/#/details/G/SPS/N/CHL/490</v>
      </c>
      <c r="O1302" s="2"/>
    </row>
    <row r="1303" spans="1:15" ht="240" customHeight="1" outlineLevel="1" x14ac:dyDescent="0.25">
      <c r="A1303" s="2" t="s">
        <v>178</v>
      </c>
      <c r="B1303" s="2" t="s">
        <v>5321</v>
      </c>
      <c r="C1303" s="2" t="s">
        <v>5322</v>
      </c>
      <c r="D1303" s="2" t="s">
        <v>5323</v>
      </c>
      <c r="E1303" s="3">
        <v>41990</v>
      </c>
      <c r="F1303" s="2" t="s">
        <v>5324</v>
      </c>
      <c r="G1303" s="2"/>
      <c r="H1303" s="2" t="s">
        <v>2425</v>
      </c>
      <c r="I1303" s="2" t="s">
        <v>2499</v>
      </c>
      <c r="J1303" s="3">
        <v>42050</v>
      </c>
      <c r="K1303" s="2" t="str">
        <f>HYPERLINK("https://docs.wto.org/imrd/directdoc.asp?DDFDocuments/t/G/SPS/NQAT52.DOC")</f>
        <v>https://docs.wto.org/imrd/directdoc.asp?DDFDocuments/t/G/SPS/NQAT52.DOC</v>
      </c>
      <c r="L1303" s="2" t="str">
        <f>HYPERLINK("https://docs.wto.org/imrd/directdoc.asp?DDFDocuments/u/G/SPS/NQAT52.DOC")</f>
        <v>https://docs.wto.org/imrd/directdoc.asp?DDFDocuments/u/G/SPS/NQAT52.DOC</v>
      </c>
      <c r="M1303" s="2" t="str">
        <f>HYPERLINK("https://docs.wto.org/imrd/directdoc.asp?DDFDocuments/v/G/SPS/NQAT52.DOC")</f>
        <v>https://docs.wto.org/imrd/directdoc.asp?DDFDocuments/v/G/SPS/NQAT52.DOC</v>
      </c>
      <c r="N1303" s="2" t="str">
        <f>HYPERLINK("http://www.epingalert.org/#/details/G/SPS/N/QAT/52")</f>
        <v>http://www.epingalert.org/#/details/G/SPS/N/QAT/52</v>
      </c>
      <c r="O1303" s="2"/>
    </row>
    <row r="1304" spans="1:15" ht="240" customHeight="1" outlineLevel="1" x14ac:dyDescent="0.25">
      <c r="A1304" s="2" t="s">
        <v>178</v>
      </c>
      <c r="B1304" s="2" t="s">
        <v>5325</v>
      </c>
      <c r="C1304" s="2" t="s">
        <v>5326</v>
      </c>
      <c r="D1304" s="2" t="s">
        <v>5327</v>
      </c>
      <c r="E1304" s="3">
        <v>41990</v>
      </c>
      <c r="F1304" s="2" t="s">
        <v>5328</v>
      </c>
      <c r="G1304" s="2"/>
      <c r="H1304" s="2" t="s">
        <v>2425</v>
      </c>
      <c r="I1304" s="2" t="s">
        <v>2426</v>
      </c>
      <c r="J1304" s="3">
        <v>42050</v>
      </c>
      <c r="K1304" s="2" t="str">
        <f>HYPERLINK("https://docs.wto.org/imrd/directdoc.asp?DDFDocuments/t/G/SPS/NQAT51.DOC")</f>
        <v>https://docs.wto.org/imrd/directdoc.asp?DDFDocuments/t/G/SPS/NQAT51.DOC</v>
      </c>
      <c r="L1304" s="2" t="str">
        <f>HYPERLINK("https://docs.wto.org/imrd/directdoc.asp?DDFDocuments/u/G/SPS/NQAT51.DOC")</f>
        <v>https://docs.wto.org/imrd/directdoc.asp?DDFDocuments/u/G/SPS/NQAT51.DOC</v>
      </c>
      <c r="M1304" s="2" t="str">
        <f>HYPERLINK("https://docs.wto.org/imrd/directdoc.asp?DDFDocuments/v/G/SPS/NQAT51.DOC")</f>
        <v>https://docs.wto.org/imrd/directdoc.asp?DDFDocuments/v/G/SPS/NQAT51.DOC</v>
      </c>
      <c r="N1304" s="2" t="str">
        <f>HYPERLINK("http://www.epingalert.org/#/details/G/SPS/N/QAT/51")</f>
        <v>http://www.epingalert.org/#/details/G/SPS/N/QAT/51</v>
      </c>
      <c r="O1304" s="2"/>
    </row>
    <row r="1305" spans="1:15" ht="240" customHeight="1" outlineLevel="1" x14ac:dyDescent="0.25">
      <c r="A1305" s="2" t="s">
        <v>178</v>
      </c>
      <c r="B1305" s="2" t="s">
        <v>5329</v>
      </c>
      <c r="C1305" s="2" t="s">
        <v>5330</v>
      </c>
      <c r="D1305" s="2" t="s">
        <v>5331</v>
      </c>
      <c r="E1305" s="3">
        <v>41990</v>
      </c>
      <c r="F1305" s="2" t="s">
        <v>5332</v>
      </c>
      <c r="G1305" s="2"/>
      <c r="H1305" s="2" t="s">
        <v>2425</v>
      </c>
      <c r="I1305" s="2" t="s">
        <v>2426</v>
      </c>
      <c r="J1305" s="3">
        <v>42050</v>
      </c>
      <c r="K1305" s="2" t="str">
        <f>HYPERLINK("https://docs.wto.org/imrd/directdoc.asp?DDFDocuments/t/G/SPS/NQAT50.DOC")</f>
        <v>https://docs.wto.org/imrd/directdoc.asp?DDFDocuments/t/G/SPS/NQAT50.DOC</v>
      </c>
      <c r="L1305" s="2" t="str">
        <f>HYPERLINK("https://docs.wto.org/imrd/directdoc.asp?DDFDocuments/u/G/SPS/NQAT50.DOC")</f>
        <v>https://docs.wto.org/imrd/directdoc.asp?DDFDocuments/u/G/SPS/NQAT50.DOC</v>
      </c>
      <c r="M1305" s="2" t="str">
        <f>HYPERLINK("https://docs.wto.org/imrd/directdoc.asp?DDFDocuments/v/G/SPS/NQAT50.DOC")</f>
        <v>https://docs.wto.org/imrd/directdoc.asp?DDFDocuments/v/G/SPS/NQAT50.DOC</v>
      </c>
      <c r="N1305" s="2" t="str">
        <f>HYPERLINK("http://www.epingalert.org/#/details/G/SPS/N/QAT/50")</f>
        <v>http://www.epingalert.org/#/details/G/SPS/N/QAT/50</v>
      </c>
      <c r="O1305" s="2"/>
    </row>
    <row r="1306" spans="1:15" ht="240" customHeight="1" outlineLevel="1" x14ac:dyDescent="0.25">
      <c r="A1306" s="2" t="s">
        <v>380</v>
      </c>
      <c r="B1306" s="2" t="s">
        <v>5333</v>
      </c>
      <c r="C1306" s="2" t="s">
        <v>5334</v>
      </c>
      <c r="D1306" s="2" t="s">
        <v>5335</v>
      </c>
      <c r="E1306" s="3">
        <v>41988</v>
      </c>
      <c r="F1306" s="2" t="s">
        <v>5336</v>
      </c>
      <c r="G1306" s="2"/>
      <c r="H1306" s="2" t="s">
        <v>2425</v>
      </c>
      <c r="I1306" s="2" t="s">
        <v>5337</v>
      </c>
      <c r="J1306" s="3">
        <v>42048</v>
      </c>
      <c r="K1306" s="2" t="str">
        <f>HYPERLINK("https://docs.wto.org/imrd/directdoc.asp?DDFDocuments/t/G/SPS/NCHN702.DOC")</f>
        <v>https://docs.wto.org/imrd/directdoc.asp?DDFDocuments/t/G/SPS/NCHN702.DOC</v>
      </c>
      <c r="L1306" s="2" t="str">
        <f>HYPERLINK("https://docs.wto.org/imrd/directdoc.asp?DDFDocuments/u/G/SPS/NCHN702.DOC")</f>
        <v>https://docs.wto.org/imrd/directdoc.asp?DDFDocuments/u/G/SPS/NCHN702.DOC</v>
      </c>
      <c r="M1306" s="2" t="str">
        <f>HYPERLINK("https://docs.wto.org/imrd/directdoc.asp?DDFDocuments/v/G/SPS/NCHN702.DOC")</f>
        <v>https://docs.wto.org/imrd/directdoc.asp?DDFDocuments/v/G/SPS/NCHN702.DOC</v>
      </c>
      <c r="N1306" s="2" t="str">
        <f>HYPERLINK("http://www.epingalert.org/#/details/G/SPS/N/CHN/702")</f>
        <v>http://www.epingalert.org/#/details/G/SPS/N/CHN/702</v>
      </c>
      <c r="O1306" s="2"/>
    </row>
    <row r="1307" spans="1:15" ht="240" customHeight="1" outlineLevel="1" x14ac:dyDescent="0.25">
      <c r="A1307" s="2" t="s">
        <v>282</v>
      </c>
      <c r="B1307" s="2" t="s">
        <v>7991</v>
      </c>
      <c r="C1307" s="2"/>
      <c r="D1307" s="2"/>
      <c r="E1307" s="3">
        <v>41988</v>
      </c>
      <c r="F1307" s="2" t="s">
        <v>7992</v>
      </c>
      <c r="G1307" s="2" t="s">
        <v>7993</v>
      </c>
      <c r="H1307" s="2" t="s">
        <v>2425</v>
      </c>
      <c r="I1307" s="2" t="s">
        <v>2491</v>
      </c>
      <c r="J1307" s="3">
        <v>42048</v>
      </c>
      <c r="K1307" s="2" t="str">
        <f>HYPERLINK("https://docs.wto.org/imrd/directdoc.asp?DDFDocuments/t/G/SPS/NRUS50A1.DOC")</f>
        <v>https://docs.wto.org/imrd/directdoc.asp?DDFDocuments/t/G/SPS/NRUS50A1.DOC</v>
      </c>
      <c r="L1307" s="2" t="str">
        <f>HYPERLINK("https://docs.wto.org/imrd/directdoc.asp?DDFDocuments/u/G/SPS/NRUS50A1.DOC")</f>
        <v>https://docs.wto.org/imrd/directdoc.asp?DDFDocuments/u/G/SPS/NRUS50A1.DOC</v>
      </c>
      <c r="M1307" s="2" t="str">
        <f>HYPERLINK("https://docs.wto.org/imrd/directdoc.asp?DDFDocuments/v/G/SPS/NRUS50A1.DOC")</f>
        <v>https://docs.wto.org/imrd/directdoc.asp?DDFDocuments/v/G/SPS/NRUS50A1.DOC</v>
      </c>
      <c r="N1307" s="2" t="str">
        <f>HYPERLINK("http://www.epingalert.org/#/details/G/SPS/N/RUS/50/Add.1")</f>
        <v>http://www.epingalert.org/#/details/G/SPS/N/RUS/50/Add.1</v>
      </c>
      <c r="O1307" s="2"/>
    </row>
    <row r="1308" spans="1:15" ht="240" customHeight="1" outlineLevel="1" x14ac:dyDescent="0.25">
      <c r="A1308" s="2" t="s">
        <v>1908</v>
      </c>
      <c r="B1308" s="2" t="s">
        <v>7999</v>
      </c>
      <c r="C1308" s="2" t="s">
        <v>8000</v>
      </c>
      <c r="D1308" s="2" t="s">
        <v>8001</v>
      </c>
      <c r="E1308" s="3">
        <v>41988</v>
      </c>
      <c r="F1308" s="2" t="s">
        <v>7942</v>
      </c>
      <c r="G1308" s="2" t="s">
        <v>8002</v>
      </c>
      <c r="H1308" s="2" t="s">
        <v>2648</v>
      </c>
      <c r="I1308" s="2" t="s">
        <v>8003</v>
      </c>
      <c r="J1308" s="3">
        <v>42019</v>
      </c>
      <c r="K1308" s="2" t="str">
        <f>HYPERLINK("https://docs.wto.org/imrd/directdoc.asp?DDFDocuments/t/G/SPS/NCAN244R2.DOC")</f>
        <v>https://docs.wto.org/imrd/directdoc.asp?DDFDocuments/t/G/SPS/NCAN244R2.DOC</v>
      </c>
      <c r="L1308" s="2" t="str">
        <f>HYPERLINK("https://docs.wto.org/imrd/directdoc.asp?DDFDocuments/u/G/SPS/NCAN244R2.DOC")</f>
        <v>https://docs.wto.org/imrd/directdoc.asp?DDFDocuments/u/G/SPS/NCAN244R2.DOC</v>
      </c>
      <c r="M1308" s="2" t="str">
        <f>HYPERLINK("https://docs.wto.org/imrd/directdoc.asp?DDFDocuments/v/G/SPS/NCAN244R2.DOC")</f>
        <v>https://docs.wto.org/imrd/directdoc.asp?DDFDocuments/v/G/SPS/NCAN244R2.DOC</v>
      </c>
      <c r="N1308" s="2" t="str">
        <f>HYPERLINK("http://www.epingalert.org/#/details/G/SPS/N/CAN/244/Rev.2")</f>
        <v>http://www.epingalert.org/#/details/G/SPS/N/CAN/244/Rev.2</v>
      </c>
      <c r="O1308" s="2"/>
    </row>
    <row r="1309" spans="1:15" ht="240" customHeight="1" outlineLevel="1" x14ac:dyDescent="0.25">
      <c r="A1309" s="2" t="s">
        <v>12</v>
      </c>
      <c r="B1309" s="2" t="s">
        <v>7994</v>
      </c>
      <c r="C1309" s="2" t="s">
        <v>7995</v>
      </c>
      <c r="D1309" s="2" t="s">
        <v>7996</v>
      </c>
      <c r="E1309" s="3">
        <v>41988</v>
      </c>
      <c r="F1309" s="2" t="s">
        <v>7997</v>
      </c>
      <c r="G1309" s="2" t="s">
        <v>7998</v>
      </c>
      <c r="H1309" s="2" t="s">
        <v>2425</v>
      </c>
      <c r="I1309" s="2" t="s">
        <v>7039</v>
      </c>
      <c r="J1309" s="2"/>
      <c r="K1309" s="2" t="str">
        <f>HYPERLINK("https://docs.wto.org/imrd/directdoc.asp?DDFDocuments/t/G/SPS/NEU118.DOC")</f>
        <v>https://docs.wto.org/imrd/directdoc.asp?DDFDocuments/t/G/SPS/NEU118.DOC</v>
      </c>
      <c r="L1309" s="2" t="str">
        <f>HYPERLINK("https://docs.wto.org/imrd/directdoc.asp?DDFDocuments/u/G/SPS/NEU118.DOC")</f>
        <v>https://docs.wto.org/imrd/directdoc.asp?DDFDocuments/u/G/SPS/NEU118.DOC</v>
      </c>
      <c r="M1309" s="2" t="str">
        <f>HYPERLINK("https://docs.wto.org/imrd/directdoc.asp?DDFDocuments/v/G/SPS/NEU118.DOC")</f>
        <v>https://docs.wto.org/imrd/directdoc.asp?DDFDocuments/v/G/SPS/NEU118.DOC</v>
      </c>
      <c r="N1309" s="2" t="str">
        <f>HYPERLINK("http://www.epingalert.org/#/details/G/SPS/N/EU/118")</f>
        <v>http://www.epingalert.org/#/details/G/SPS/N/EU/118</v>
      </c>
      <c r="O1309" s="2"/>
    </row>
    <row r="1310" spans="1:15" ht="240" customHeight="1" outlineLevel="1" x14ac:dyDescent="0.25">
      <c r="A1310" s="2" t="s">
        <v>211</v>
      </c>
      <c r="B1310" s="2" t="s">
        <v>5338</v>
      </c>
      <c r="C1310" s="2"/>
      <c r="D1310" s="2"/>
      <c r="E1310" s="3">
        <v>41985</v>
      </c>
      <c r="F1310" s="2" t="s">
        <v>4234</v>
      </c>
      <c r="G1310" s="2"/>
      <c r="H1310" s="2" t="s">
        <v>2425</v>
      </c>
      <c r="I1310" s="2" t="s">
        <v>2491</v>
      </c>
      <c r="J1310" s="3">
        <v>42045</v>
      </c>
      <c r="K1310" s="2" t="str">
        <f>HYPERLINK("https://docs.wto.org/imrd/directdoc.asp?DDFDocuments/t/G/SPS/NNZL508A1.DOC")</f>
        <v>https://docs.wto.org/imrd/directdoc.asp?DDFDocuments/t/G/SPS/NNZL508A1.DOC</v>
      </c>
      <c r="L1310" s="2" t="str">
        <f>HYPERLINK("https://docs.wto.org/imrd/directdoc.asp?DDFDocuments/u/G/SPS/NNZL508A1.DOC")</f>
        <v>https://docs.wto.org/imrd/directdoc.asp?DDFDocuments/u/G/SPS/NNZL508A1.DOC</v>
      </c>
      <c r="M1310" s="2" t="str">
        <f>HYPERLINK("https://docs.wto.org/imrd/directdoc.asp?DDFDocuments/v/G/SPS/NNZL508A1.DOC")</f>
        <v>https://docs.wto.org/imrd/directdoc.asp?DDFDocuments/v/G/SPS/NNZL508A1.DOC</v>
      </c>
      <c r="N1310" s="2" t="str">
        <f>HYPERLINK("http://www.epingalert.org/#/details/G/SPS/N/NZL/508/Add.1")</f>
        <v>http://www.epingalert.org/#/details/G/SPS/N/NZL/508/Add.1</v>
      </c>
      <c r="O1310" s="2"/>
    </row>
    <row r="1311" spans="1:15" ht="240" customHeight="1" outlineLevel="1" x14ac:dyDescent="0.25">
      <c r="A1311" s="2" t="s">
        <v>12</v>
      </c>
      <c r="B1311" s="2" t="s">
        <v>5339</v>
      </c>
      <c r="C1311" s="2" t="s">
        <v>5340</v>
      </c>
      <c r="D1311" s="2" t="s">
        <v>5341</v>
      </c>
      <c r="E1311" s="3">
        <v>41985</v>
      </c>
      <c r="F1311" s="2" t="s">
        <v>5342</v>
      </c>
      <c r="G1311" s="2" t="s">
        <v>5343</v>
      </c>
      <c r="H1311" s="2" t="s">
        <v>2425</v>
      </c>
      <c r="I1311" s="2" t="s">
        <v>2453</v>
      </c>
      <c r="J1311" s="3">
        <v>42045</v>
      </c>
      <c r="K1311" s="2" t="str">
        <f>HYPERLINK("https://docs.wto.org/imrd/directdoc.asp?DDFDocuments/t/G/SPS/NEU117.DOC")</f>
        <v>https://docs.wto.org/imrd/directdoc.asp?DDFDocuments/t/G/SPS/NEU117.DOC</v>
      </c>
      <c r="L1311" s="2" t="str">
        <f>HYPERLINK("https://docs.wto.org/imrd/directdoc.asp?DDFDocuments/u/G/SPS/NEU117.DOC")</f>
        <v>https://docs.wto.org/imrd/directdoc.asp?DDFDocuments/u/G/SPS/NEU117.DOC</v>
      </c>
      <c r="M1311" s="2" t="str">
        <f>HYPERLINK("https://docs.wto.org/imrd/directdoc.asp?DDFDocuments/v/G/SPS/NEU117.DOC")</f>
        <v>https://docs.wto.org/imrd/directdoc.asp?DDFDocuments/v/G/SPS/NEU117.DOC</v>
      </c>
      <c r="N1311" s="2" t="str">
        <f>HYPERLINK("http://www.epingalert.org/#/details/G/SPS/N/EU/117")</f>
        <v>http://www.epingalert.org/#/details/G/SPS/N/EU/117</v>
      </c>
      <c r="O1311" s="2"/>
    </row>
    <row r="1312" spans="1:15" ht="240" customHeight="1" outlineLevel="1" x14ac:dyDescent="0.25">
      <c r="A1312" s="2" t="s">
        <v>18</v>
      </c>
      <c r="B1312" s="2" t="s">
        <v>5344</v>
      </c>
      <c r="C1312" s="2" t="s">
        <v>5345</v>
      </c>
      <c r="D1312" s="2" t="s">
        <v>5346</v>
      </c>
      <c r="E1312" s="3">
        <v>41985</v>
      </c>
      <c r="F1312" s="2" t="s">
        <v>2816</v>
      </c>
      <c r="G1312" s="2"/>
      <c r="H1312" s="2" t="s">
        <v>2425</v>
      </c>
      <c r="I1312" s="2" t="s">
        <v>2453</v>
      </c>
      <c r="J1312" s="3">
        <v>42006</v>
      </c>
      <c r="K1312" s="2" t="str">
        <f>HYPERLINK("https://docs.wto.org/imrd/directdoc.asp?DDFDocuments/t/G/SPS/NUSA2721.DOC")</f>
        <v>https://docs.wto.org/imrd/directdoc.asp?DDFDocuments/t/G/SPS/NUSA2721.DOC</v>
      </c>
      <c r="L1312" s="2" t="str">
        <f>HYPERLINK("https://docs.wto.org/imrd/directdoc.asp?DDFDocuments/u/G/SPS/NUSA2721.DOC")</f>
        <v>https://docs.wto.org/imrd/directdoc.asp?DDFDocuments/u/G/SPS/NUSA2721.DOC</v>
      </c>
      <c r="M1312" s="2" t="str">
        <f>HYPERLINK("https://docs.wto.org/imrd/directdoc.asp?DDFDocuments/v/G/SPS/NUSA2721.DOC")</f>
        <v>https://docs.wto.org/imrd/directdoc.asp?DDFDocuments/v/G/SPS/NUSA2721.DOC</v>
      </c>
      <c r="N1312" s="2" t="str">
        <f>HYPERLINK("http://www.epingalert.org/#/details/G/SPS/N/USA/2721")</f>
        <v>http://www.epingalert.org/#/details/G/SPS/N/USA/2721</v>
      </c>
      <c r="O1312" s="2"/>
    </row>
    <row r="1313" spans="1:15" ht="240" customHeight="1" outlineLevel="1" x14ac:dyDescent="0.25">
      <c r="A1313" s="2" t="s">
        <v>128</v>
      </c>
      <c r="B1313" s="2" t="s">
        <v>8004</v>
      </c>
      <c r="C1313" s="2" t="s">
        <v>8005</v>
      </c>
      <c r="D1313" s="2" t="s">
        <v>8006</v>
      </c>
      <c r="E1313" s="3">
        <v>41985</v>
      </c>
      <c r="F1313" s="2" t="s">
        <v>8007</v>
      </c>
      <c r="G1313" s="2" t="s">
        <v>8008</v>
      </c>
      <c r="H1313" s="2" t="s">
        <v>6741</v>
      </c>
      <c r="I1313" s="2" t="s">
        <v>6887</v>
      </c>
      <c r="J1313" s="2"/>
      <c r="K1313" s="2" t="str">
        <f>HYPERLINK("https://docs.wto.org/imrd/directdoc.asp?DDFDocuments/t/G/SPS/NPER580.DOC")</f>
        <v>https://docs.wto.org/imrd/directdoc.asp?DDFDocuments/t/G/SPS/NPER580.DOC</v>
      </c>
      <c r="L1313" s="2" t="str">
        <f>HYPERLINK("https://docs.wto.org/imrd/directdoc.asp?DDFDocuments/u/G/SPS/NPER580.DOC")</f>
        <v>https://docs.wto.org/imrd/directdoc.asp?DDFDocuments/u/G/SPS/NPER580.DOC</v>
      </c>
      <c r="M1313" s="2" t="str">
        <f>HYPERLINK("https://docs.wto.org/imrd/directdoc.asp?DDFDocuments/v/G/SPS/NPER580.DOC")</f>
        <v>https://docs.wto.org/imrd/directdoc.asp?DDFDocuments/v/G/SPS/NPER580.DOC</v>
      </c>
      <c r="N1313" s="2" t="str">
        <f>HYPERLINK("http://www.epingalert.org/#/details/G/SPS/N/PER/580")</f>
        <v>http://www.epingalert.org/#/details/G/SPS/N/PER/580</v>
      </c>
      <c r="O1313" s="2"/>
    </row>
    <row r="1314" spans="1:15" ht="240" customHeight="1" outlineLevel="1" x14ac:dyDescent="0.25">
      <c r="A1314" s="2" t="s">
        <v>225</v>
      </c>
      <c r="B1314" s="2" t="s">
        <v>5357</v>
      </c>
      <c r="C1314" s="2" t="s">
        <v>5358</v>
      </c>
      <c r="D1314" s="2" t="s">
        <v>2494</v>
      </c>
      <c r="E1314" s="3">
        <v>41984</v>
      </c>
      <c r="F1314" s="2" t="s">
        <v>2430</v>
      </c>
      <c r="G1314" s="2"/>
      <c r="H1314" s="2" t="s">
        <v>2425</v>
      </c>
      <c r="I1314" s="2" t="s">
        <v>2431</v>
      </c>
      <c r="J1314" s="3">
        <v>42051</v>
      </c>
      <c r="K1314" s="2" t="str">
        <f>HYPERLINK("https://docs.wto.org/imrd/directdoc.asp?DDFDocuments/t/G/SPS/NAUS352.DOC")</f>
        <v>https://docs.wto.org/imrd/directdoc.asp?DDFDocuments/t/G/SPS/NAUS352.DOC</v>
      </c>
      <c r="L1314" s="2" t="str">
        <f>HYPERLINK("https://docs.wto.org/imrd/directdoc.asp?DDFDocuments/u/G/SPS/NAUS352.DOC")</f>
        <v>https://docs.wto.org/imrd/directdoc.asp?DDFDocuments/u/G/SPS/NAUS352.DOC</v>
      </c>
      <c r="M1314" s="2" t="str">
        <f>HYPERLINK("https://docs.wto.org/imrd/directdoc.asp?DDFDocuments/v/G/SPS/NAUS352.DOC")</f>
        <v>https://docs.wto.org/imrd/directdoc.asp?DDFDocuments/v/G/SPS/NAUS352.DOC</v>
      </c>
      <c r="N1314" s="2" t="str">
        <f>HYPERLINK("http://www.epingalert.org/#/details/G/SPS/N/AUS/352")</f>
        <v>http://www.epingalert.org/#/details/G/SPS/N/AUS/352</v>
      </c>
      <c r="O1314" s="2"/>
    </row>
    <row r="1315" spans="1:15" ht="240" customHeight="1" outlineLevel="1" x14ac:dyDescent="0.25">
      <c r="A1315" s="2" t="s">
        <v>173</v>
      </c>
      <c r="B1315" s="2" t="s">
        <v>5350</v>
      </c>
      <c r="C1315" s="2" t="s">
        <v>5351</v>
      </c>
      <c r="D1315" s="2" t="s">
        <v>5352</v>
      </c>
      <c r="E1315" s="3">
        <v>41984</v>
      </c>
      <c r="F1315" s="2" t="s">
        <v>743</v>
      </c>
      <c r="G1315" s="2"/>
      <c r="H1315" s="2" t="s">
        <v>2425</v>
      </c>
      <c r="I1315" s="2" t="s">
        <v>2548</v>
      </c>
      <c r="J1315" s="3">
        <v>42044</v>
      </c>
      <c r="K1315" s="2" t="str">
        <f>HYPERLINK("https://docs.wto.org/imrd/directdoc.asp?DDFDocuments/t/G/SPS/NSAU137.DOC")</f>
        <v>https://docs.wto.org/imrd/directdoc.asp?DDFDocuments/t/G/SPS/NSAU137.DOC</v>
      </c>
      <c r="L1315" s="2" t="str">
        <f>HYPERLINK("https://docs.wto.org/imrd/directdoc.asp?DDFDocuments/u/G/SPS/NSAU137.DOC")</f>
        <v>https://docs.wto.org/imrd/directdoc.asp?DDFDocuments/u/G/SPS/NSAU137.DOC</v>
      </c>
      <c r="M1315" s="2" t="str">
        <f>HYPERLINK("https://docs.wto.org/imrd/directdoc.asp?DDFDocuments/v/G/SPS/NSAU137.DOC")</f>
        <v>https://docs.wto.org/imrd/directdoc.asp?DDFDocuments/v/G/SPS/NSAU137.DOC</v>
      </c>
      <c r="N1315" s="2" t="str">
        <f>HYPERLINK("http://www.epingalert.org/#/details/G/SPS/N/SAU/137")</f>
        <v>http://www.epingalert.org/#/details/G/SPS/N/SAU/137</v>
      </c>
      <c r="O1315" s="2"/>
    </row>
    <row r="1316" spans="1:15" ht="240" customHeight="1" outlineLevel="1" x14ac:dyDescent="0.25">
      <c r="A1316" s="2" t="s">
        <v>173</v>
      </c>
      <c r="B1316" s="2" t="s">
        <v>5353</v>
      </c>
      <c r="C1316" s="2" t="s">
        <v>5354</v>
      </c>
      <c r="D1316" s="2" t="s">
        <v>5355</v>
      </c>
      <c r="E1316" s="3">
        <v>41984</v>
      </c>
      <c r="F1316" s="2" t="s">
        <v>5356</v>
      </c>
      <c r="G1316" s="2"/>
      <c r="H1316" s="2" t="s">
        <v>2425</v>
      </c>
      <c r="I1316" s="2" t="s">
        <v>2499</v>
      </c>
      <c r="J1316" s="3">
        <v>42044</v>
      </c>
      <c r="K1316" s="2" t="str">
        <f>HYPERLINK("https://docs.wto.org/imrd/directdoc.asp?DDFDocuments/t/G/SPS/NSAU136.DOC")</f>
        <v>https://docs.wto.org/imrd/directdoc.asp?DDFDocuments/t/G/SPS/NSAU136.DOC</v>
      </c>
      <c r="L1316" s="2" t="str">
        <f>HYPERLINK("https://docs.wto.org/imrd/directdoc.asp?DDFDocuments/u/G/SPS/NSAU136.DOC")</f>
        <v>https://docs.wto.org/imrd/directdoc.asp?DDFDocuments/u/G/SPS/NSAU136.DOC</v>
      </c>
      <c r="M1316" s="2" t="str">
        <f>HYPERLINK("https://docs.wto.org/imrd/directdoc.asp?DDFDocuments/v/G/SPS/NSAU136.DOC")</f>
        <v>https://docs.wto.org/imrd/directdoc.asp?DDFDocuments/v/G/SPS/NSAU136.DOC</v>
      </c>
      <c r="N1316" s="2" t="str">
        <f>HYPERLINK("http://www.epingalert.org/#/details/G/SPS/N/SAU/136")</f>
        <v>http://www.epingalert.org/#/details/G/SPS/N/SAU/136</v>
      </c>
      <c r="O1316" s="2"/>
    </row>
    <row r="1317" spans="1:15" ht="240" customHeight="1" outlineLevel="1" x14ac:dyDescent="0.25">
      <c r="A1317" s="2" t="s">
        <v>77</v>
      </c>
      <c r="B1317" s="2" t="s">
        <v>5347</v>
      </c>
      <c r="C1317" s="2"/>
      <c r="D1317" s="2"/>
      <c r="E1317" s="3">
        <v>41984</v>
      </c>
      <c r="F1317" s="2" t="s">
        <v>5348</v>
      </c>
      <c r="G1317" s="2" t="s">
        <v>5349</v>
      </c>
      <c r="H1317" s="2" t="s">
        <v>2425</v>
      </c>
      <c r="I1317" s="2" t="s">
        <v>2444</v>
      </c>
      <c r="J1317" s="2"/>
      <c r="K1317" s="2" t="str">
        <f>HYPERLINK("https://docs.wto.org/imrd/directdoc.asp?DDFDocuments/t/G/SPS/NTPKM321A1.DOC")</f>
        <v>https://docs.wto.org/imrd/directdoc.asp?DDFDocuments/t/G/SPS/NTPKM321A1.DOC</v>
      </c>
      <c r="L1317" s="2" t="str">
        <f>HYPERLINK("https://docs.wto.org/imrd/directdoc.asp?DDFDocuments/u/G/SPS/NTPKM321A1.DOC")</f>
        <v>https://docs.wto.org/imrd/directdoc.asp?DDFDocuments/u/G/SPS/NTPKM321A1.DOC</v>
      </c>
      <c r="M1317" s="2" t="str">
        <f>HYPERLINK("https://docs.wto.org/imrd/directdoc.asp?DDFDocuments/v/G/SPS/NTPKM321A1.DOC")</f>
        <v>https://docs.wto.org/imrd/directdoc.asp?DDFDocuments/v/G/SPS/NTPKM321A1.DOC</v>
      </c>
      <c r="N1317" s="2" t="str">
        <f>HYPERLINK("http://www.epingalert.org/#/details/G/SPS/N/TPKM/321/Add.1")</f>
        <v>http://www.epingalert.org/#/details/G/SPS/N/TPKM/321/Add.1</v>
      </c>
      <c r="O1317" s="2"/>
    </row>
    <row r="1318" spans="1:15" ht="240" customHeight="1" outlineLevel="1" x14ac:dyDescent="0.25">
      <c r="A1318" s="2" t="s">
        <v>1908</v>
      </c>
      <c r="B1318" s="2" t="s">
        <v>6669</v>
      </c>
      <c r="C1318" s="2" t="s">
        <v>6670</v>
      </c>
      <c r="D1318" s="2" t="s">
        <v>6671</v>
      </c>
      <c r="E1318" s="3">
        <v>41983</v>
      </c>
      <c r="F1318" s="2" t="s">
        <v>6672</v>
      </c>
      <c r="G1318" s="2" t="s">
        <v>1646</v>
      </c>
      <c r="H1318" s="2" t="s">
        <v>2425</v>
      </c>
      <c r="I1318" s="2" t="s">
        <v>2426</v>
      </c>
      <c r="J1318" s="3">
        <v>42050</v>
      </c>
      <c r="K1318" s="2" t="str">
        <f>HYPERLINK("https://docs.wto.org/imrd/directdoc.asp?DDFDocuments/t/G/SPS/NCAN904.DOC")</f>
        <v>https://docs.wto.org/imrd/directdoc.asp?DDFDocuments/t/G/SPS/NCAN904.DOC</v>
      </c>
      <c r="L1318" s="2" t="str">
        <f>HYPERLINK("https://docs.wto.org/imrd/directdoc.asp?DDFDocuments/u/G/SPS/NCAN904.DOC")</f>
        <v>https://docs.wto.org/imrd/directdoc.asp?DDFDocuments/u/G/SPS/NCAN904.DOC</v>
      </c>
      <c r="M1318" s="2" t="str">
        <f>HYPERLINK("https://docs.wto.org/imrd/directdoc.asp?DDFDocuments/v/G/SPS/NCAN904.DOC")</f>
        <v>https://docs.wto.org/imrd/directdoc.asp?DDFDocuments/v/G/SPS/NCAN904.DOC</v>
      </c>
      <c r="N1318" s="2" t="str">
        <f>HYPERLINK("http://www.epingalert.org/#/details/G/SPS/N/CAN/904")</f>
        <v>http://www.epingalert.org/#/details/G/SPS/N/CAN/904</v>
      </c>
      <c r="O1318" s="2"/>
    </row>
    <row r="1319" spans="1:15" ht="240" customHeight="1" outlineLevel="1" x14ac:dyDescent="0.25">
      <c r="A1319" s="2" t="s">
        <v>1908</v>
      </c>
      <c r="B1319" s="2" t="s">
        <v>8009</v>
      </c>
      <c r="C1319" s="2" t="s">
        <v>8010</v>
      </c>
      <c r="D1319" s="2" t="s">
        <v>8011</v>
      </c>
      <c r="E1319" s="3">
        <v>41982</v>
      </c>
      <c r="F1319" s="2" t="s">
        <v>8012</v>
      </c>
      <c r="G1319" s="2" t="s">
        <v>2248</v>
      </c>
      <c r="H1319" s="2" t="s">
        <v>2425</v>
      </c>
      <c r="I1319" s="2" t="s">
        <v>2426</v>
      </c>
      <c r="J1319" s="3">
        <v>42050</v>
      </c>
      <c r="K1319" s="2" t="str">
        <f>HYPERLINK("https://docs.wto.org/imrd/directdoc.asp?DDFDocuments/t/G/SPS/NCAN903.DOC")</f>
        <v>https://docs.wto.org/imrd/directdoc.asp?DDFDocuments/t/G/SPS/NCAN903.DOC</v>
      </c>
      <c r="L1319" s="2" t="str">
        <f>HYPERLINK("https://docs.wto.org/imrd/directdoc.asp?DDFDocuments/u/G/SPS/NCAN903.DOC")</f>
        <v>https://docs.wto.org/imrd/directdoc.asp?DDFDocuments/u/G/SPS/NCAN903.DOC</v>
      </c>
      <c r="M1319" s="2" t="str">
        <f>HYPERLINK("https://docs.wto.org/imrd/directdoc.asp?DDFDocuments/v/G/SPS/NCAN903.DOC")</f>
        <v>https://docs.wto.org/imrd/directdoc.asp?DDFDocuments/v/G/SPS/NCAN903.DOC</v>
      </c>
      <c r="N1319" s="2" t="str">
        <f>HYPERLINK("http://www.epingalert.org/#/details/G/SPS/N/CAN/903")</f>
        <v>http://www.epingalert.org/#/details/G/SPS/N/CAN/903</v>
      </c>
      <c r="O1319" s="2"/>
    </row>
    <row r="1320" spans="1:15" ht="240" customHeight="1" outlineLevel="1" x14ac:dyDescent="0.25">
      <c r="A1320" s="2" t="s">
        <v>2846</v>
      </c>
      <c r="B1320" s="2" t="s">
        <v>5359</v>
      </c>
      <c r="C1320" s="2" t="s">
        <v>5360</v>
      </c>
      <c r="D1320" s="2" t="s">
        <v>5361</v>
      </c>
      <c r="E1320" s="3">
        <v>41982</v>
      </c>
      <c r="F1320" s="2" t="s">
        <v>46</v>
      </c>
      <c r="G1320" s="2"/>
      <c r="H1320" s="2" t="s">
        <v>2425</v>
      </c>
      <c r="I1320" s="2" t="s">
        <v>2499</v>
      </c>
      <c r="J1320" s="2"/>
      <c r="K1320" s="2" t="str">
        <f>HYPERLINK("https://docs.wto.org/imrd/directdoc.asp?DDFDocuments/t/G/SPS/NMAC15.DOC")</f>
        <v>https://docs.wto.org/imrd/directdoc.asp?DDFDocuments/t/G/SPS/NMAC15.DOC</v>
      </c>
      <c r="L1320" s="2" t="str">
        <f>HYPERLINK("https://docs.wto.org/imrd/directdoc.asp?DDFDocuments/u/G/SPS/NMAC15.DOC")</f>
        <v>https://docs.wto.org/imrd/directdoc.asp?DDFDocuments/u/G/SPS/NMAC15.DOC</v>
      </c>
      <c r="M1320" s="2" t="str">
        <f>HYPERLINK("https://docs.wto.org/imrd/directdoc.asp?DDFDocuments/v/G/SPS/NMAC15.DOC")</f>
        <v>https://docs.wto.org/imrd/directdoc.asp?DDFDocuments/v/G/SPS/NMAC15.DOC</v>
      </c>
      <c r="N1320" s="2" t="str">
        <f>HYPERLINK("http://www.epingalert.org/#/details/G/SPS/N/MAC/15")</f>
        <v>http://www.epingalert.org/#/details/G/SPS/N/MAC/15</v>
      </c>
      <c r="O1320" s="2"/>
    </row>
    <row r="1321" spans="1:15" ht="240" customHeight="1" outlineLevel="1" x14ac:dyDescent="0.25">
      <c r="A1321" s="2" t="s">
        <v>2846</v>
      </c>
      <c r="B1321" s="2" t="s">
        <v>5362</v>
      </c>
      <c r="C1321" s="2" t="s">
        <v>5363</v>
      </c>
      <c r="D1321" s="2" t="s">
        <v>5364</v>
      </c>
      <c r="E1321" s="3">
        <v>41982</v>
      </c>
      <c r="F1321" s="2" t="s">
        <v>46</v>
      </c>
      <c r="G1321" s="2"/>
      <c r="H1321" s="2" t="s">
        <v>2425</v>
      </c>
      <c r="I1321" s="2" t="s">
        <v>2535</v>
      </c>
      <c r="J1321" s="2"/>
      <c r="K1321" s="2" t="str">
        <f>HYPERLINK("https://docs.wto.org/imrd/directdoc.asp?DDFDocuments/t/G/SPS/NMAC14.DOC")</f>
        <v>https://docs.wto.org/imrd/directdoc.asp?DDFDocuments/t/G/SPS/NMAC14.DOC</v>
      </c>
      <c r="L1321" s="2" t="str">
        <f>HYPERLINK("https://docs.wto.org/imrd/directdoc.asp?DDFDocuments/u/G/SPS/NMAC14.DOC")</f>
        <v>https://docs.wto.org/imrd/directdoc.asp?DDFDocuments/u/G/SPS/NMAC14.DOC</v>
      </c>
      <c r="M1321" s="2" t="str">
        <f>HYPERLINK("https://docs.wto.org/imrd/directdoc.asp?DDFDocuments/v/G/SPS/NMAC14.DOC")</f>
        <v>https://docs.wto.org/imrd/directdoc.asp?DDFDocuments/v/G/SPS/NMAC14.DOC</v>
      </c>
      <c r="N1321" s="2" t="str">
        <f>HYPERLINK("http://www.epingalert.org/#/details/G/SPS/N/MAC/14")</f>
        <v>http://www.epingalert.org/#/details/G/SPS/N/MAC/14</v>
      </c>
      <c r="O1321" s="2"/>
    </row>
    <row r="1322" spans="1:15" ht="240" customHeight="1" outlineLevel="1" x14ac:dyDescent="0.25">
      <c r="A1322" s="2" t="s">
        <v>2846</v>
      </c>
      <c r="B1322" s="2" t="s">
        <v>5365</v>
      </c>
      <c r="C1322" s="2" t="s">
        <v>5366</v>
      </c>
      <c r="D1322" s="2" t="s">
        <v>5367</v>
      </c>
      <c r="E1322" s="3">
        <v>41982</v>
      </c>
      <c r="F1322" s="2" t="s">
        <v>46</v>
      </c>
      <c r="G1322" s="2"/>
      <c r="H1322" s="2" t="s">
        <v>2425</v>
      </c>
      <c r="I1322" s="2" t="s">
        <v>2426</v>
      </c>
      <c r="J1322" s="2"/>
      <c r="K1322" s="2" t="str">
        <f>HYPERLINK("https://docs.wto.org/imrd/directdoc.asp?DDFDocuments/t/G/SPS/NMAC13.DOC")</f>
        <v>https://docs.wto.org/imrd/directdoc.asp?DDFDocuments/t/G/SPS/NMAC13.DOC</v>
      </c>
      <c r="L1322" s="2" t="str">
        <f>HYPERLINK("https://docs.wto.org/imrd/directdoc.asp?DDFDocuments/u/G/SPS/NMAC13.DOC")</f>
        <v>https://docs.wto.org/imrd/directdoc.asp?DDFDocuments/u/G/SPS/NMAC13.DOC</v>
      </c>
      <c r="M1322" s="2" t="str">
        <f>HYPERLINK("https://docs.wto.org/imrd/directdoc.asp?DDFDocuments/v/G/SPS/NMAC13.DOC")</f>
        <v>https://docs.wto.org/imrd/directdoc.asp?DDFDocuments/v/G/SPS/NMAC13.DOC</v>
      </c>
      <c r="N1322" s="2" t="str">
        <f>HYPERLINK("http://www.epingalert.org/#/details/G/SPS/N/MAC/13")</f>
        <v>http://www.epingalert.org/#/details/G/SPS/N/MAC/13</v>
      </c>
      <c r="O1322" s="2"/>
    </row>
    <row r="1323" spans="1:15" ht="240" customHeight="1" outlineLevel="1" x14ac:dyDescent="0.25">
      <c r="A1323" s="2" t="s">
        <v>18</v>
      </c>
      <c r="B1323" s="2" t="s">
        <v>8013</v>
      </c>
      <c r="C1323" s="2"/>
      <c r="D1323" s="2"/>
      <c r="E1323" s="3">
        <v>41981</v>
      </c>
      <c r="F1323" s="2" t="s">
        <v>8014</v>
      </c>
      <c r="G1323" s="2" t="s">
        <v>8015</v>
      </c>
      <c r="H1323" s="2" t="s">
        <v>2425</v>
      </c>
      <c r="I1323" s="2" t="s">
        <v>2491</v>
      </c>
      <c r="J1323" s="3">
        <v>42024</v>
      </c>
      <c r="K1323" s="2" t="str">
        <f>HYPERLINK("https://docs.wto.org/imrd/directdoc.asp?DDFDocuments/t/G/SPS/NUSA2280A4.DOC")</f>
        <v>https://docs.wto.org/imrd/directdoc.asp?DDFDocuments/t/G/SPS/NUSA2280A4.DOC</v>
      </c>
      <c r="L1323" s="2" t="str">
        <f>HYPERLINK("https://docs.wto.org/imrd/directdoc.asp?DDFDocuments/u/G/SPS/NUSA2280A4.DOC")</f>
        <v>https://docs.wto.org/imrd/directdoc.asp?DDFDocuments/u/G/SPS/NUSA2280A4.DOC</v>
      </c>
      <c r="M1323" s="2" t="str">
        <f>HYPERLINK("https://docs.wto.org/imrd/directdoc.asp?DDFDocuments/v/G/SPS/NUSA2280A4.DOC")</f>
        <v>https://docs.wto.org/imrd/directdoc.asp?DDFDocuments/v/G/SPS/NUSA2280A4.DOC</v>
      </c>
      <c r="N1323" s="2" t="str">
        <f>HYPERLINK("http://www.epingalert.org/#/details/G/SPS/N/USA/2280/Add.4")</f>
        <v>http://www.epingalert.org/#/details/G/SPS/N/USA/2280/Add.4</v>
      </c>
      <c r="O1323" s="2"/>
    </row>
    <row r="1324" spans="1:15" ht="240" customHeight="1" outlineLevel="1" x14ac:dyDescent="0.25">
      <c r="A1324" s="2" t="s">
        <v>18</v>
      </c>
      <c r="B1324" s="2" t="s">
        <v>8016</v>
      </c>
      <c r="C1324" s="2"/>
      <c r="D1324" s="2"/>
      <c r="E1324" s="3">
        <v>41978</v>
      </c>
      <c r="F1324" s="2" t="s">
        <v>8017</v>
      </c>
      <c r="G1324" s="2" t="s">
        <v>8018</v>
      </c>
      <c r="H1324" s="2" t="s">
        <v>8019</v>
      </c>
      <c r="I1324" s="2" t="s">
        <v>2444</v>
      </c>
      <c r="J1324" s="2"/>
      <c r="K1324" s="2" t="str">
        <f>HYPERLINK("https://docs.wto.org/imrd/directdoc.asp?DDFDocuments/t/G/SPS/NUSA2136A2.DOC")</f>
        <v>https://docs.wto.org/imrd/directdoc.asp?DDFDocuments/t/G/SPS/NUSA2136A2.DOC</v>
      </c>
      <c r="L1324" s="2" t="str">
        <f>HYPERLINK("https://docs.wto.org/imrd/directdoc.asp?DDFDocuments/u/G/SPS/NUSA2136A2.DOC")</f>
        <v>https://docs.wto.org/imrd/directdoc.asp?DDFDocuments/u/G/SPS/NUSA2136A2.DOC</v>
      </c>
      <c r="M1324" s="2" t="str">
        <f>HYPERLINK("https://docs.wto.org/imrd/directdoc.asp?DDFDocuments/v/G/SPS/NUSA2136A2.DOC")</f>
        <v>https://docs.wto.org/imrd/directdoc.asp?DDFDocuments/v/G/SPS/NUSA2136A2.DOC</v>
      </c>
      <c r="N1324" s="2" t="str">
        <f>HYPERLINK("http://www.epingalert.org/#/details/G/SPS/N/USA/2136/Add.2")</f>
        <v>http://www.epingalert.org/#/details/G/SPS/N/USA/2136/Add.2</v>
      </c>
      <c r="O1324" s="2"/>
    </row>
    <row r="1325" spans="1:15" ht="240" customHeight="1" outlineLevel="1" x14ac:dyDescent="0.25">
      <c r="A1325" s="2" t="s">
        <v>173</v>
      </c>
      <c r="B1325" s="2" t="s">
        <v>5368</v>
      </c>
      <c r="C1325" s="2" t="s">
        <v>5369</v>
      </c>
      <c r="D1325" s="2" t="s">
        <v>5370</v>
      </c>
      <c r="E1325" s="3">
        <v>41977</v>
      </c>
      <c r="F1325" s="2" t="s">
        <v>5371</v>
      </c>
      <c r="G1325" s="2" t="s">
        <v>5372</v>
      </c>
      <c r="H1325" s="2" t="s">
        <v>2425</v>
      </c>
      <c r="I1325" s="2" t="s">
        <v>2535</v>
      </c>
      <c r="J1325" s="3">
        <v>42037</v>
      </c>
      <c r="K1325" s="2" t="str">
        <f>HYPERLINK("https://docs.wto.org/imrd/directdoc.asp?DDFDocuments/t/G/SPS/NSAU133.DOC")</f>
        <v>https://docs.wto.org/imrd/directdoc.asp?DDFDocuments/t/G/SPS/NSAU133.DOC</v>
      </c>
      <c r="L1325" s="2" t="str">
        <f>HYPERLINK("https://docs.wto.org/imrd/directdoc.asp?DDFDocuments/u/G/SPS/NSAU133.DOC")</f>
        <v>https://docs.wto.org/imrd/directdoc.asp?DDFDocuments/u/G/SPS/NSAU133.DOC</v>
      </c>
      <c r="M1325" s="2" t="str">
        <f>HYPERLINK("https://docs.wto.org/imrd/directdoc.asp?DDFDocuments/v/G/SPS/NSAU133.DOC")</f>
        <v>https://docs.wto.org/imrd/directdoc.asp?DDFDocuments/v/G/SPS/NSAU133.DOC</v>
      </c>
      <c r="N1325" s="2" t="str">
        <f>HYPERLINK("http://www.epingalert.org/#/details/G/SPS/N/SAU/133")</f>
        <v>http://www.epingalert.org/#/details/G/SPS/N/SAU/133</v>
      </c>
      <c r="O1325" s="2"/>
    </row>
    <row r="1326" spans="1:15" ht="240" customHeight="1" outlineLevel="1" x14ac:dyDescent="0.25">
      <c r="A1326" s="2" t="s">
        <v>173</v>
      </c>
      <c r="B1326" s="2" t="s">
        <v>6542</v>
      </c>
      <c r="C1326" s="2" t="s">
        <v>6543</v>
      </c>
      <c r="D1326" s="2" t="s">
        <v>1550</v>
      </c>
      <c r="E1326" s="3">
        <v>41977</v>
      </c>
      <c r="F1326" s="2" t="s">
        <v>6544</v>
      </c>
      <c r="G1326" s="2"/>
      <c r="H1326" s="2" t="s">
        <v>2425</v>
      </c>
      <c r="I1326" s="2" t="s">
        <v>6545</v>
      </c>
      <c r="J1326" s="3">
        <v>42037</v>
      </c>
      <c r="K1326" s="2" t="str">
        <f>HYPERLINK("https://docs.wto.org/imrd/directdoc.asp?DDFDocuments/t/G/SPS/NSAU128.DOC")</f>
        <v>https://docs.wto.org/imrd/directdoc.asp?DDFDocuments/t/G/SPS/NSAU128.DOC</v>
      </c>
      <c r="L1326" s="2" t="str">
        <f>HYPERLINK("https://docs.wto.org/imrd/directdoc.asp?DDFDocuments/u/G/SPS/NSAU128.DOC")</f>
        <v>https://docs.wto.org/imrd/directdoc.asp?DDFDocuments/u/G/SPS/NSAU128.DOC</v>
      </c>
      <c r="M1326" s="2" t="str">
        <f>HYPERLINK("https://docs.wto.org/imrd/directdoc.asp?DDFDocuments/v/G/SPS/NSAU128.DOC")</f>
        <v>https://docs.wto.org/imrd/directdoc.asp?DDFDocuments/v/G/SPS/NSAU128.DOC</v>
      </c>
      <c r="N1326" s="2" t="str">
        <f>HYPERLINK("http://www.epingalert.org/#/details/G/SPS/N/SAU/128")</f>
        <v>http://www.epingalert.org/#/details/G/SPS/N/SAU/128</v>
      </c>
      <c r="O1326" s="2"/>
    </row>
    <row r="1327" spans="1:15" ht="240" customHeight="1" outlineLevel="1" x14ac:dyDescent="0.25">
      <c r="A1327" s="2" t="s">
        <v>173</v>
      </c>
      <c r="B1327" s="2" t="s">
        <v>8020</v>
      </c>
      <c r="C1327" s="2" t="s">
        <v>8021</v>
      </c>
      <c r="D1327" s="2" t="s">
        <v>8022</v>
      </c>
      <c r="E1327" s="3">
        <v>41977</v>
      </c>
      <c r="F1327" s="2" t="s">
        <v>8023</v>
      </c>
      <c r="G1327" s="2" t="s">
        <v>8024</v>
      </c>
      <c r="H1327" s="2" t="s">
        <v>2425</v>
      </c>
      <c r="I1327" s="2" t="s">
        <v>2535</v>
      </c>
      <c r="J1327" s="3">
        <v>42037</v>
      </c>
      <c r="K1327" s="2" t="str">
        <f>HYPERLINK("https://docs.wto.org/imrd/directdoc.asp?DDFDocuments/t/G/SPS/NSAU132.DOC")</f>
        <v>https://docs.wto.org/imrd/directdoc.asp?DDFDocuments/t/G/SPS/NSAU132.DOC</v>
      </c>
      <c r="L1327" s="2" t="str">
        <f>HYPERLINK("https://docs.wto.org/imrd/directdoc.asp?DDFDocuments/u/G/SPS/NSAU132.DOC")</f>
        <v>https://docs.wto.org/imrd/directdoc.asp?DDFDocuments/u/G/SPS/NSAU132.DOC</v>
      </c>
      <c r="M1327" s="2" t="str">
        <f>HYPERLINK("https://docs.wto.org/imrd/directdoc.asp?DDFDocuments/v/G/SPS/NSAU132.DOC")</f>
        <v>https://docs.wto.org/imrd/directdoc.asp?DDFDocuments/v/G/SPS/NSAU132.DOC</v>
      </c>
      <c r="N1327" s="2" t="str">
        <f>HYPERLINK("http://www.epingalert.org/#/details/G/SPS/N/SAU/132")</f>
        <v>http://www.epingalert.org/#/details/G/SPS/N/SAU/132</v>
      </c>
      <c r="O1327" s="2"/>
    </row>
    <row r="1328" spans="1:15" ht="240" customHeight="1" outlineLevel="1" x14ac:dyDescent="0.25">
      <c r="A1328" s="2" t="s">
        <v>173</v>
      </c>
      <c r="B1328" s="2" t="s">
        <v>8025</v>
      </c>
      <c r="C1328" s="2" t="s">
        <v>8026</v>
      </c>
      <c r="D1328" s="2" t="s">
        <v>8027</v>
      </c>
      <c r="E1328" s="3">
        <v>41977</v>
      </c>
      <c r="F1328" s="2" t="s">
        <v>8028</v>
      </c>
      <c r="G1328" s="2" t="s">
        <v>6736</v>
      </c>
      <c r="H1328" s="2" t="s">
        <v>2425</v>
      </c>
      <c r="I1328" s="2" t="s">
        <v>2535</v>
      </c>
      <c r="J1328" s="3">
        <v>42037</v>
      </c>
      <c r="K1328" s="2" t="str">
        <f>HYPERLINK("https://docs.wto.org/imrd/directdoc.asp?DDFDocuments/t/G/SPS/NSAU131.DOC")</f>
        <v>https://docs.wto.org/imrd/directdoc.asp?DDFDocuments/t/G/SPS/NSAU131.DOC</v>
      </c>
      <c r="L1328" s="2" t="str">
        <f>HYPERLINK("https://docs.wto.org/imrd/directdoc.asp?DDFDocuments/u/G/SPS/NSAU131.DOC")</f>
        <v>https://docs.wto.org/imrd/directdoc.asp?DDFDocuments/u/G/SPS/NSAU131.DOC</v>
      </c>
      <c r="M1328" s="2" t="str">
        <f>HYPERLINK("https://docs.wto.org/imrd/directdoc.asp?DDFDocuments/v/G/SPS/NSAU131.DOC")</f>
        <v>https://docs.wto.org/imrd/directdoc.asp?DDFDocuments/v/G/SPS/NSAU131.DOC</v>
      </c>
      <c r="N1328" s="2" t="str">
        <f>HYPERLINK("http://www.epingalert.org/#/details/G/SPS/N/SAU/131")</f>
        <v>http://www.epingalert.org/#/details/G/SPS/N/SAU/131</v>
      </c>
      <c r="O1328" s="2"/>
    </row>
    <row r="1329" spans="1:15" ht="240" customHeight="1" outlineLevel="1" x14ac:dyDescent="0.25">
      <c r="A1329" s="2" t="s">
        <v>173</v>
      </c>
      <c r="B1329" s="2" t="s">
        <v>8029</v>
      </c>
      <c r="C1329" s="2" t="s">
        <v>8030</v>
      </c>
      <c r="D1329" s="2" t="s">
        <v>8031</v>
      </c>
      <c r="E1329" s="3">
        <v>41977</v>
      </c>
      <c r="F1329" s="2" t="s">
        <v>8032</v>
      </c>
      <c r="G1329" s="2" t="s">
        <v>8033</v>
      </c>
      <c r="H1329" s="2" t="s">
        <v>2425</v>
      </c>
      <c r="I1329" s="2" t="s">
        <v>2535</v>
      </c>
      <c r="J1329" s="3">
        <v>42037</v>
      </c>
      <c r="K1329" s="2" t="str">
        <f>HYPERLINK("https://docs.wto.org/imrd/directdoc.asp?DDFDocuments/t/G/SPS/NSAU130.DOC")</f>
        <v>https://docs.wto.org/imrd/directdoc.asp?DDFDocuments/t/G/SPS/NSAU130.DOC</v>
      </c>
      <c r="L1329" s="2" t="str">
        <f>HYPERLINK("https://docs.wto.org/imrd/directdoc.asp?DDFDocuments/u/G/SPS/NSAU130.DOC")</f>
        <v>https://docs.wto.org/imrd/directdoc.asp?DDFDocuments/u/G/SPS/NSAU130.DOC</v>
      </c>
      <c r="M1329" s="2" t="str">
        <f>HYPERLINK("https://docs.wto.org/imrd/directdoc.asp?DDFDocuments/v/G/SPS/NSAU130.DOC")</f>
        <v>https://docs.wto.org/imrd/directdoc.asp?DDFDocuments/v/G/SPS/NSAU130.DOC</v>
      </c>
      <c r="N1329" s="2" t="str">
        <f>HYPERLINK("http://www.epingalert.org/#/details/G/SPS/N/SAU/130")</f>
        <v>http://www.epingalert.org/#/details/G/SPS/N/SAU/130</v>
      </c>
      <c r="O1329" s="2"/>
    </row>
    <row r="1330" spans="1:15" ht="240" customHeight="1" outlineLevel="1" x14ac:dyDescent="0.25">
      <c r="A1330" s="2" t="s">
        <v>173</v>
      </c>
      <c r="B1330" s="2" t="s">
        <v>8034</v>
      </c>
      <c r="C1330" s="2" t="s">
        <v>8035</v>
      </c>
      <c r="D1330" s="2" t="s">
        <v>8036</v>
      </c>
      <c r="E1330" s="3">
        <v>41977</v>
      </c>
      <c r="F1330" s="2" t="s">
        <v>8037</v>
      </c>
      <c r="G1330" s="2" t="s">
        <v>8033</v>
      </c>
      <c r="H1330" s="2" t="s">
        <v>2425</v>
      </c>
      <c r="I1330" s="2" t="s">
        <v>2535</v>
      </c>
      <c r="J1330" s="3">
        <v>42037</v>
      </c>
      <c r="K1330" s="2" t="str">
        <f>HYPERLINK("https://docs.wto.org/imrd/directdoc.asp?DDFDocuments/t/G/SPS/NSAU127.DOC")</f>
        <v>https://docs.wto.org/imrd/directdoc.asp?DDFDocuments/t/G/SPS/NSAU127.DOC</v>
      </c>
      <c r="L1330" s="2" t="str">
        <f>HYPERLINK("https://docs.wto.org/imrd/directdoc.asp?DDFDocuments/u/G/SPS/NSAU127.DOC")</f>
        <v>https://docs.wto.org/imrd/directdoc.asp?DDFDocuments/u/G/SPS/NSAU127.DOC</v>
      </c>
      <c r="M1330" s="2" t="str">
        <f>HYPERLINK("https://docs.wto.org/imrd/directdoc.asp?DDFDocuments/v/G/SPS/NSAU127.DOC")</f>
        <v>https://docs.wto.org/imrd/directdoc.asp?DDFDocuments/v/G/SPS/NSAU127.DOC</v>
      </c>
      <c r="N1330" s="2" t="str">
        <f>HYPERLINK("http://www.epingalert.org/#/details/G/SPS/N/SAU/127")</f>
        <v>http://www.epingalert.org/#/details/G/SPS/N/SAU/127</v>
      </c>
      <c r="O1330" s="2"/>
    </row>
    <row r="1331" spans="1:15" ht="240" customHeight="1" outlineLevel="1" x14ac:dyDescent="0.25">
      <c r="A1331" s="2" t="s">
        <v>173</v>
      </c>
      <c r="B1331" s="2" t="s">
        <v>5373</v>
      </c>
      <c r="C1331" s="2" t="s">
        <v>5374</v>
      </c>
      <c r="D1331" s="2" t="s">
        <v>5375</v>
      </c>
      <c r="E1331" s="3">
        <v>41976</v>
      </c>
      <c r="F1331" s="2" t="s">
        <v>5376</v>
      </c>
      <c r="G1331" s="2"/>
      <c r="H1331" s="2" t="s">
        <v>2425</v>
      </c>
      <c r="I1331" s="2" t="s">
        <v>2535</v>
      </c>
      <c r="J1331" s="3">
        <v>42036</v>
      </c>
      <c r="K1331" s="2" t="str">
        <f>HYPERLINK("https://docs.wto.org/imrd/directdoc.asp?DDFDocuments/t/G/SPS/NSAU123.DOC")</f>
        <v>https://docs.wto.org/imrd/directdoc.asp?DDFDocuments/t/G/SPS/NSAU123.DOC</v>
      </c>
      <c r="L1331" s="2" t="str">
        <f>HYPERLINK("https://docs.wto.org/imrd/directdoc.asp?DDFDocuments/u/G/SPS/NSAU123.DOC")</f>
        <v>https://docs.wto.org/imrd/directdoc.asp?DDFDocuments/u/G/SPS/NSAU123.DOC</v>
      </c>
      <c r="M1331" s="2" t="str">
        <f>HYPERLINK("https://docs.wto.org/imrd/directdoc.asp?DDFDocuments/v/G/SPS/NSAU123.DOC")</f>
        <v>https://docs.wto.org/imrd/directdoc.asp?DDFDocuments/v/G/SPS/NSAU123.DOC</v>
      </c>
      <c r="N1331" s="2" t="str">
        <f>HYPERLINK("http://www.epingalert.org/#/details/G/SPS/N/SAU/123")</f>
        <v>http://www.epingalert.org/#/details/G/SPS/N/SAU/123</v>
      </c>
      <c r="O1331" s="2"/>
    </row>
    <row r="1332" spans="1:15" ht="240" customHeight="1" outlineLevel="1" x14ac:dyDescent="0.25">
      <c r="A1332" s="2" t="s">
        <v>173</v>
      </c>
      <c r="B1332" s="2" t="s">
        <v>5377</v>
      </c>
      <c r="C1332" s="2" t="s">
        <v>5378</v>
      </c>
      <c r="D1332" s="2" t="s">
        <v>5379</v>
      </c>
      <c r="E1332" s="3">
        <v>41976</v>
      </c>
      <c r="F1332" s="2" t="s">
        <v>5380</v>
      </c>
      <c r="G1332" s="2"/>
      <c r="H1332" s="2" t="s">
        <v>2425</v>
      </c>
      <c r="I1332" s="2" t="s">
        <v>2535</v>
      </c>
      <c r="J1332" s="3">
        <v>42036</v>
      </c>
      <c r="K1332" s="2" t="str">
        <f>HYPERLINK("https://docs.wto.org/imrd/directdoc.asp?DDFDocuments/t/G/SPS/NSAU122.DOC")</f>
        <v>https://docs.wto.org/imrd/directdoc.asp?DDFDocuments/t/G/SPS/NSAU122.DOC</v>
      </c>
      <c r="L1332" s="2" t="str">
        <f>HYPERLINK("https://docs.wto.org/imrd/directdoc.asp?DDFDocuments/u/G/SPS/NSAU122.DOC")</f>
        <v>https://docs.wto.org/imrd/directdoc.asp?DDFDocuments/u/G/SPS/NSAU122.DOC</v>
      </c>
      <c r="M1332" s="2" t="str">
        <f>HYPERLINK("https://docs.wto.org/imrd/directdoc.asp?DDFDocuments/v/G/SPS/NSAU122.DOC")</f>
        <v>https://docs.wto.org/imrd/directdoc.asp?DDFDocuments/v/G/SPS/NSAU122.DOC</v>
      </c>
      <c r="N1332" s="2" t="str">
        <f>HYPERLINK("http://www.epingalert.org/#/details/G/SPS/N/SAU/122")</f>
        <v>http://www.epingalert.org/#/details/G/SPS/N/SAU/122</v>
      </c>
      <c r="O1332" s="2"/>
    </row>
    <row r="1333" spans="1:15" ht="240" customHeight="1" outlineLevel="1" x14ac:dyDescent="0.25">
      <c r="A1333" s="2" t="s">
        <v>173</v>
      </c>
      <c r="B1333" s="2" t="s">
        <v>8038</v>
      </c>
      <c r="C1333" s="2" t="s">
        <v>8039</v>
      </c>
      <c r="D1333" s="2" t="s">
        <v>8040</v>
      </c>
      <c r="E1333" s="3">
        <v>41976</v>
      </c>
      <c r="F1333" s="2" t="s">
        <v>8041</v>
      </c>
      <c r="G1333" s="2" t="s">
        <v>8042</v>
      </c>
      <c r="H1333" s="2" t="s">
        <v>2425</v>
      </c>
      <c r="I1333" s="2" t="s">
        <v>2535</v>
      </c>
      <c r="J1333" s="3">
        <v>42036</v>
      </c>
      <c r="K1333" s="2" t="str">
        <f>HYPERLINK("https://docs.wto.org/imrd/directdoc.asp?DDFDocuments/t/G/SPS/NSAU121.DOC")</f>
        <v>https://docs.wto.org/imrd/directdoc.asp?DDFDocuments/t/G/SPS/NSAU121.DOC</v>
      </c>
      <c r="L1333" s="2" t="str">
        <f>HYPERLINK("https://docs.wto.org/imrd/directdoc.asp?DDFDocuments/u/G/SPS/NSAU121.DOC")</f>
        <v>https://docs.wto.org/imrd/directdoc.asp?DDFDocuments/u/G/SPS/NSAU121.DOC</v>
      </c>
      <c r="M1333" s="2" t="str">
        <f>HYPERLINK("https://docs.wto.org/imrd/directdoc.asp?DDFDocuments/v/G/SPS/NSAU121.DOC")</f>
        <v>https://docs.wto.org/imrd/directdoc.asp?DDFDocuments/v/G/SPS/NSAU121.DOC</v>
      </c>
      <c r="N1333" s="2" t="str">
        <f>HYPERLINK("http://www.epingalert.org/#/details/G/SPS/N/SAU/121")</f>
        <v>http://www.epingalert.org/#/details/G/SPS/N/SAU/121</v>
      </c>
      <c r="O1333" s="2"/>
    </row>
    <row r="1334" spans="1:15" ht="240" customHeight="1" outlineLevel="1" x14ac:dyDescent="0.25">
      <c r="A1334" s="2" t="s">
        <v>42</v>
      </c>
      <c r="B1334" s="2" t="s">
        <v>5381</v>
      </c>
      <c r="C1334" s="2" t="s">
        <v>5382</v>
      </c>
      <c r="D1334" s="2" t="s">
        <v>5383</v>
      </c>
      <c r="E1334" s="3">
        <v>41976</v>
      </c>
      <c r="F1334" s="2" t="s">
        <v>5383</v>
      </c>
      <c r="G1334" s="2"/>
      <c r="H1334" s="2" t="s">
        <v>2425</v>
      </c>
      <c r="I1334" s="2" t="s">
        <v>2453</v>
      </c>
      <c r="J1334" s="3">
        <v>41999</v>
      </c>
      <c r="K1334" s="2" t="str">
        <f>HYPERLINK("https://docs.wto.org/imrd/directdoc.asp?DDFDocuments/t/G/SPS/NBRA1008.DOC")</f>
        <v>https://docs.wto.org/imrd/directdoc.asp?DDFDocuments/t/G/SPS/NBRA1008.DOC</v>
      </c>
      <c r="L1334" s="2" t="str">
        <f>HYPERLINK("https://docs.wto.org/imrd/directdoc.asp?DDFDocuments/u/G/SPS/NBRA1008.DOC")</f>
        <v>https://docs.wto.org/imrd/directdoc.asp?DDFDocuments/u/G/SPS/NBRA1008.DOC</v>
      </c>
      <c r="M1334" s="2" t="str">
        <f>HYPERLINK("https://docs.wto.org/imrd/directdoc.asp?DDFDocuments/v/G/SPS/NBRA1008.DOC")</f>
        <v>https://docs.wto.org/imrd/directdoc.asp?DDFDocuments/v/G/SPS/NBRA1008.DOC</v>
      </c>
      <c r="N1334" s="2" t="str">
        <f>HYPERLINK("http://www.epingalert.org/#/details/G/SPS/N/BRA/1008")</f>
        <v>http://www.epingalert.org/#/details/G/SPS/N/BRA/1008</v>
      </c>
      <c r="O1334" s="2"/>
    </row>
    <row r="1335" spans="1:15" ht="240" customHeight="1" outlineLevel="1" x14ac:dyDescent="0.25">
      <c r="A1335" s="2" t="s">
        <v>42</v>
      </c>
      <c r="B1335" s="2" t="s">
        <v>5384</v>
      </c>
      <c r="C1335" s="2" t="s">
        <v>5385</v>
      </c>
      <c r="D1335" s="2" t="s">
        <v>5386</v>
      </c>
      <c r="E1335" s="3">
        <v>41976</v>
      </c>
      <c r="F1335" s="2" t="s">
        <v>5387</v>
      </c>
      <c r="G1335" s="2"/>
      <c r="H1335" s="2" t="s">
        <v>2425</v>
      </c>
      <c r="I1335" s="2" t="s">
        <v>2453</v>
      </c>
      <c r="J1335" s="3">
        <v>41999</v>
      </c>
      <c r="K1335" s="2" t="str">
        <f>HYPERLINK("https://docs.wto.org/imrd/directdoc.asp?DDFDocuments/t/G/SPS/NBRA1005.DOC")</f>
        <v>https://docs.wto.org/imrd/directdoc.asp?DDFDocuments/t/G/SPS/NBRA1005.DOC</v>
      </c>
      <c r="L1335" s="2" t="str">
        <f>HYPERLINK("https://docs.wto.org/imrd/directdoc.asp?DDFDocuments/u/G/SPS/NBRA1005.DOC")</f>
        <v>https://docs.wto.org/imrd/directdoc.asp?DDFDocuments/u/G/SPS/NBRA1005.DOC</v>
      </c>
      <c r="M1335" s="2" t="str">
        <f>HYPERLINK("https://docs.wto.org/imrd/directdoc.asp?DDFDocuments/v/G/SPS/NBRA1005.DOC")</f>
        <v>https://docs.wto.org/imrd/directdoc.asp?DDFDocuments/v/G/SPS/NBRA1005.DOC</v>
      </c>
      <c r="N1335" s="2" t="str">
        <f>HYPERLINK("http://www.epingalert.org/#/details/G/SPS/N/BRA/1005")</f>
        <v>http://www.epingalert.org/#/details/G/SPS/N/BRA/1005</v>
      </c>
      <c r="O1335" s="2"/>
    </row>
    <row r="1336" spans="1:15" ht="240" customHeight="1" outlineLevel="1" x14ac:dyDescent="0.25">
      <c r="A1336" s="2" t="s">
        <v>77</v>
      </c>
      <c r="B1336" s="2" t="s">
        <v>6673</v>
      </c>
      <c r="C1336" s="2" t="s">
        <v>6674</v>
      </c>
      <c r="D1336" s="2" t="s">
        <v>6675</v>
      </c>
      <c r="E1336" s="3">
        <v>41975</v>
      </c>
      <c r="F1336" s="2" t="s">
        <v>6577</v>
      </c>
      <c r="G1336" s="2" t="s">
        <v>1646</v>
      </c>
      <c r="H1336" s="2" t="s">
        <v>2425</v>
      </c>
      <c r="I1336" s="2" t="s">
        <v>6503</v>
      </c>
      <c r="J1336" s="3">
        <v>42035</v>
      </c>
      <c r="K1336" s="2" t="str">
        <f>HYPERLINK("https://docs.wto.org/imrd/directdoc.asp?DDFDocuments/t/G/SPS/NTPKM337.DOC")</f>
        <v>https://docs.wto.org/imrd/directdoc.asp?DDFDocuments/t/G/SPS/NTPKM337.DOC</v>
      </c>
      <c r="L1336" s="2" t="str">
        <f>HYPERLINK("https://docs.wto.org/imrd/directdoc.asp?DDFDocuments/u/G/SPS/NTPKM337.DOC")</f>
        <v>https://docs.wto.org/imrd/directdoc.asp?DDFDocuments/u/G/SPS/NTPKM337.DOC</v>
      </c>
      <c r="M1336" s="2" t="str">
        <f>HYPERLINK("https://docs.wto.org/imrd/directdoc.asp?DDFDocuments/v/G/SPS/NTPKM337.DOC")</f>
        <v>https://docs.wto.org/imrd/directdoc.asp?DDFDocuments/v/G/SPS/NTPKM337.DOC</v>
      </c>
      <c r="N1336" s="2" t="str">
        <f>HYPERLINK("http://www.epingalert.org/#/details/G/SPS/N/TPKM/337")</f>
        <v>http://www.epingalert.org/#/details/G/SPS/N/TPKM/337</v>
      </c>
      <c r="O1336" s="2"/>
    </row>
    <row r="1337" spans="1:15" ht="240" customHeight="1" outlineLevel="1" x14ac:dyDescent="0.25">
      <c r="A1337" s="2" t="s">
        <v>77</v>
      </c>
      <c r="B1337" s="2" t="s">
        <v>5388</v>
      </c>
      <c r="C1337" s="2" t="s">
        <v>5389</v>
      </c>
      <c r="D1337" s="2" t="s">
        <v>5390</v>
      </c>
      <c r="E1337" s="3">
        <v>41975</v>
      </c>
      <c r="F1337" s="2" t="s">
        <v>5391</v>
      </c>
      <c r="G1337" s="2"/>
      <c r="H1337" s="2" t="s">
        <v>2425</v>
      </c>
      <c r="I1337" s="2" t="s">
        <v>3246</v>
      </c>
      <c r="J1337" s="2"/>
      <c r="K1337" s="2" t="str">
        <f>HYPERLINK("https://docs.wto.org/imrd/directdoc.asp?DDFDocuments/t/G/SPS/NTPKM338.DOC")</f>
        <v>https://docs.wto.org/imrd/directdoc.asp?DDFDocuments/t/G/SPS/NTPKM338.DOC</v>
      </c>
      <c r="L1337" s="2" t="str">
        <f>HYPERLINK("https://docs.wto.org/imrd/directdoc.asp?DDFDocuments/u/G/SPS/NTPKM338.DOC")</f>
        <v>https://docs.wto.org/imrd/directdoc.asp?DDFDocuments/u/G/SPS/NTPKM338.DOC</v>
      </c>
      <c r="M1337" s="2" t="str">
        <f>HYPERLINK("https://docs.wto.org/imrd/directdoc.asp?DDFDocuments/v/G/SPS/NTPKM338.DOC")</f>
        <v>https://docs.wto.org/imrd/directdoc.asp?DDFDocuments/v/G/SPS/NTPKM338.DOC</v>
      </c>
      <c r="N1337" s="2" t="str">
        <f>HYPERLINK("http://www.epingalert.org/#/details/G/SPS/N/TPKM/338")</f>
        <v>http://www.epingalert.org/#/details/G/SPS/N/TPKM/338</v>
      </c>
      <c r="O1337" s="2"/>
    </row>
    <row r="1338" spans="1:15" ht="240" customHeight="1" outlineLevel="1" x14ac:dyDescent="0.25">
      <c r="A1338" s="2" t="s">
        <v>31</v>
      </c>
      <c r="B1338" s="2" t="s">
        <v>8043</v>
      </c>
      <c r="C1338" s="2" t="s">
        <v>8044</v>
      </c>
      <c r="D1338" s="2" t="s">
        <v>8045</v>
      </c>
      <c r="E1338" s="3">
        <v>41974</v>
      </c>
      <c r="F1338" s="2" t="s">
        <v>8046</v>
      </c>
      <c r="G1338" s="2" t="s">
        <v>8047</v>
      </c>
      <c r="H1338" s="2" t="s">
        <v>2467</v>
      </c>
      <c r="I1338" s="2" t="s">
        <v>8048</v>
      </c>
      <c r="J1338" s="2"/>
      <c r="K1338" s="2" t="str">
        <f>HYPERLINK("https://docs.wto.org/imrd/directdoc.asp?DDFDocuments/t/G/SPS/NTHA224.DOC")</f>
        <v>https://docs.wto.org/imrd/directdoc.asp?DDFDocuments/t/G/SPS/NTHA224.DOC</v>
      </c>
      <c r="L1338" s="2" t="str">
        <f>HYPERLINK("https://docs.wto.org/imrd/directdoc.asp?DDFDocuments/u/G/SPS/NTHA224.DOC")</f>
        <v>https://docs.wto.org/imrd/directdoc.asp?DDFDocuments/u/G/SPS/NTHA224.DOC</v>
      </c>
      <c r="M1338" s="2" t="str">
        <f>HYPERLINK("https://docs.wto.org/imrd/directdoc.asp?DDFDocuments/v/G/SPS/NTHA224.DOC")</f>
        <v>https://docs.wto.org/imrd/directdoc.asp?DDFDocuments/v/G/SPS/NTHA224.DOC</v>
      </c>
      <c r="N1338" s="2" t="str">
        <f>HYPERLINK("http://www.epingalert.org/#/details/G/SPS/N/THA/224")</f>
        <v>http://www.epingalert.org/#/details/G/SPS/N/THA/224</v>
      </c>
      <c r="O1338" s="2"/>
    </row>
    <row r="1339" spans="1:15" ht="240" customHeight="1" outlineLevel="1" x14ac:dyDescent="0.25">
      <c r="A1339" s="2" t="s">
        <v>115</v>
      </c>
      <c r="B1339" s="2" t="s">
        <v>8049</v>
      </c>
      <c r="C1339" s="2" t="s">
        <v>7598</v>
      </c>
      <c r="D1339" s="2" t="s">
        <v>8050</v>
      </c>
      <c r="E1339" s="3">
        <v>41971</v>
      </c>
      <c r="F1339" s="2" t="s">
        <v>8051</v>
      </c>
      <c r="G1339" s="2" t="s">
        <v>8052</v>
      </c>
      <c r="H1339" s="2" t="s">
        <v>2573</v>
      </c>
      <c r="I1339" s="2" t="s">
        <v>2453</v>
      </c>
      <c r="J1339" s="3">
        <v>42031</v>
      </c>
      <c r="K1339" s="2" t="str">
        <f>HYPERLINK("https://docs.wto.org/imrd/directdoc.asp?DDFDocuments/t/G/SPS/NJPN382.DOC")</f>
        <v>https://docs.wto.org/imrd/directdoc.asp?DDFDocuments/t/G/SPS/NJPN382.DOC</v>
      </c>
      <c r="L1339" s="2" t="str">
        <f>HYPERLINK("https://docs.wto.org/imrd/directdoc.asp?DDFDocuments/u/G/SPS/NJPN382.DOC")</f>
        <v>https://docs.wto.org/imrd/directdoc.asp?DDFDocuments/u/G/SPS/NJPN382.DOC</v>
      </c>
      <c r="M1339" s="2" t="str">
        <f>HYPERLINK("https://docs.wto.org/imrd/directdoc.asp?DDFDocuments/v/G/SPS/NJPN382.DOC")</f>
        <v>https://docs.wto.org/imrd/directdoc.asp?DDFDocuments/v/G/SPS/NJPN382.DOC</v>
      </c>
      <c r="N1339" s="2" t="str">
        <f>HYPERLINK("http://www.epingalert.org/#/details/G/SPS/N/JPN/382")</f>
        <v>http://www.epingalert.org/#/details/G/SPS/N/JPN/382</v>
      </c>
      <c r="O1339" s="2"/>
    </row>
    <row r="1340" spans="1:15" ht="240" customHeight="1" outlineLevel="1" x14ac:dyDescent="0.25">
      <c r="A1340" s="2" t="s">
        <v>115</v>
      </c>
      <c r="B1340" s="2" t="s">
        <v>8053</v>
      </c>
      <c r="C1340" s="2" t="s">
        <v>7598</v>
      </c>
      <c r="D1340" s="2" t="s">
        <v>8054</v>
      </c>
      <c r="E1340" s="3">
        <v>41971</v>
      </c>
      <c r="F1340" s="2" t="s">
        <v>8055</v>
      </c>
      <c r="G1340" s="2" t="s">
        <v>8056</v>
      </c>
      <c r="H1340" s="2" t="s">
        <v>2573</v>
      </c>
      <c r="I1340" s="2" t="s">
        <v>2453</v>
      </c>
      <c r="J1340" s="3">
        <v>42031</v>
      </c>
      <c r="K1340" s="2" t="str">
        <f>HYPERLINK("https://docs.wto.org/imrd/directdoc.asp?DDFDocuments/t/G/SPS/NJPN381.DOC")</f>
        <v>https://docs.wto.org/imrd/directdoc.asp?DDFDocuments/t/G/SPS/NJPN381.DOC</v>
      </c>
      <c r="L1340" s="2" t="str">
        <f>HYPERLINK("https://docs.wto.org/imrd/directdoc.asp?DDFDocuments/u/G/SPS/NJPN381.DOC")</f>
        <v>https://docs.wto.org/imrd/directdoc.asp?DDFDocuments/u/G/SPS/NJPN381.DOC</v>
      </c>
      <c r="M1340" s="2" t="str">
        <f>HYPERLINK("https://docs.wto.org/imrd/directdoc.asp?DDFDocuments/v/G/SPS/NJPN381.DOC")</f>
        <v>https://docs.wto.org/imrd/directdoc.asp?DDFDocuments/v/G/SPS/NJPN381.DOC</v>
      </c>
      <c r="N1340" s="2" t="str">
        <f>HYPERLINK("http://www.epingalert.org/#/details/G/SPS/N/JPN/381")</f>
        <v>http://www.epingalert.org/#/details/G/SPS/N/JPN/381</v>
      </c>
      <c r="O1340" s="2"/>
    </row>
    <row r="1341" spans="1:15" ht="240" customHeight="1" outlineLevel="1" x14ac:dyDescent="0.25">
      <c r="A1341" s="2" t="s">
        <v>115</v>
      </c>
      <c r="B1341" s="2" t="s">
        <v>8057</v>
      </c>
      <c r="C1341" s="2" t="s">
        <v>7598</v>
      </c>
      <c r="D1341" s="2" t="s">
        <v>8058</v>
      </c>
      <c r="E1341" s="3">
        <v>41971</v>
      </c>
      <c r="F1341" s="2" t="s">
        <v>8059</v>
      </c>
      <c r="G1341" s="2" t="s">
        <v>8060</v>
      </c>
      <c r="H1341" s="2" t="s">
        <v>2573</v>
      </c>
      <c r="I1341" s="2" t="s">
        <v>2453</v>
      </c>
      <c r="J1341" s="3">
        <v>42031</v>
      </c>
      <c r="K1341" s="2" t="str">
        <f>HYPERLINK("https://docs.wto.org/imrd/directdoc.asp?DDFDocuments/t/G/SPS/NJPN380.DOC")</f>
        <v>https://docs.wto.org/imrd/directdoc.asp?DDFDocuments/t/G/SPS/NJPN380.DOC</v>
      </c>
      <c r="L1341" s="2" t="str">
        <f>HYPERLINK("https://docs.wto.org/imrd/directdoc.asp?DDFDocuments/u/G/SPS/NJPN380.DOC")</f>
        <v>https://docs.wto.org/imrd/directdoc.asp?DDFDocuments/u/G/SPS/NJPN380.DOC</v>
      </c>
      <c r="M1341" s="2" t="str">
        <f>HYPERLINK("https://docs.wto.org/imrd/directdoc.asp?DDFDocuments/v/G/SPS/NJPN380.DOC")</f>
        <v>https://docs.wto.org/imrd/directdoc.asp?DDFDocuments/v/G/SPS/NJPN380.DOC</v>
      </c>
      <c r="N1341" s="2" t="str">
        <f>HYPERLINK("http://www.epingalert.org/#/details/G/SPS/N/JPN/380")</f>
        <v>http://www.epingalert.org/#/details/G/SPS/N/JPN/380</v>
      </c>
      <c r="O1341" s="2"/>
    </row>
    <row r="1342" spans="1:15" ht="240" customHeight="1" outlineLevel="1" x14ac:dyDescent="0.25">
      <c r="A1342" s="2" t="s">
        <v>115</v>
      </c>
      <c r="B1342" s="2" t="s">
        <v>8061</v>
      </c>
      <c r="C1342" s="2" t="s">
        <v>7598</v>
      </c>
      <c r="D1342" s="2" t="s">
        <v>8062</v>
      </c>
      <c r="E1342" s="3">
        <v>41971</v>
      </c>
      <c r="F1342" s="2" t="s">
        <v>8063</v>
      </c>
      <c r="G1342" s="2" t="s">
        <v>8064</v>
      </c>
      <c r="H1342" s="2" t="s">
        <v>2573</v>
      </c>
      <c r="I1342" s="2" t="s">
        <v>2453</v>
      </c>
      <c r="J1342" s="3">
        <v>42031</v>
      </c>
      <c r="K1342" s="2" t="str">
        <f>HYPERLINK("https://docs.wto.org/imrd/directdoc.asp?DDFDocuments/t/G/SPS/NJPN379.DOC")</f>
        <v>https://docs.wto.org/imrd/directdoc.asp?DDFDocuments/t/G/SPS/NJPN379.DOC</v>
      </c>
      <c r="L1342" s="2" t="str">
        <f>HYPERLINK("https://docs.wto.org/imrd/directdoc.asp?DDFDocuments/u/G/SPS/NJPN379.DOC")</f>
        <v>https://docs.wto.org/imrd/directdoc.asp?DDFDocuments/u/G/SPS/NJPN379.DOC</v>
      </c>
      <c r="M1342" s="2" t="str">
        <f>HYPERLINK("https://docs.wto.org/imrd/directdoc.asp?DDFDocuments/v/G/SPS/NJPN379.DOC")</f>
        <v>https://docs.wto.org/imrd/directdoc.asp?DDFDocuments/v/G/SPS/NJPN379.DOC</v>
      </c>
      <c r="N1342" s="2" t="str">
        <f>HYPERLINK("http://www.epingalert.org/#/details/G/SPS/N/JPN/379")</f>
        <v>http://www.epingalert.org/#/details/G/SPS/N/JPN/379</v>
      </c>
      <c r="O1342" s="2"/>
    </row>
    <row r="1343" spans="1:15" ht="240" customHeight="1" outlineLevel="1" x14ac:dyDescent="0.25">
      <c r="A1343" s="2" t="s">
        <v>115</v>
      </c>
      <c r="B1343" s="2" t="s">
        <v>8065</v>
      </c>
      <c r="C1343" s="2" t="s">
        <v>7976</v>
      </c>
      <c r="D1343" s="2" t="s">
        <v>8066</v>
      </c>
      <c r="E1343" s="3">
        <v>41971</v>
      </c>
      <c r="F1343" s="2" t="s">
        <v>8067</v>
      </c>
      <c r="G1343" s="2" t="s">
        <v>8068</v>
      </c>
      <c r="H1343" s="2" t="s">
        <v>2573</v>
      </c>
      <c r="I1343" s="2" t="s">
        <v>2453</v>
      </c>
      <c r="J1343" s="3">
        <v>42031</v>
      </c>
      <c r="K1343" s="2" t="str">
        <f>HYPERLINK("https://docs.wto.org/imrd/directdoc.asp?DDFDocuments/t/G/SPS/NJPN378.DOC")</f>
        <v>https://docs.wto.org/imrd/directdoc.asp?DDFDocuments/t/G/SPS/NJPN378.DOC</v>
      </c>
      <c r="L1343" s="2" t="str">
        <f>HYPERLINK("https://docs.wto.org/imrd/directdoc.asp?DDFDocuments/u/G/SPS/NJPN378.DOC")</f>
        <v>https://docs.wto.org/imrd/directdoc.asp?DDFDocuments/u/G/SPS/NJPN378.DOC</v>
      </c>
      <c r="M1343" s="2" t="str">
        <f>HYPERLINK("https://docs.wto.org/imrd/directdoc.asp?DDFDocuments/v/G/SPS/NJPN378.DOC")</f>
        <v>https://docs.wto.org/imrd/directdoc.asp?DDFDocuments/v/G/SPS/NJPN378.DOC</v>
      </c>
      <c r="N1343" s="2" t="str">
        <f>HYPERLINK("http://www.epingalert.org/#/details/G/SPS/N/JPN/378")</f>
        <v>http://www.epingalert.org/#/details/G/SPS/N/JPN/378</v>
      </c>
      <c r="O1343" s="2"/>
    </row>
    <row r="1344" spans="1:15" ht="240" customHeight="1" outlineLevel="1" x14ac:dyDescent="0.25">
      <c r="A1344" s="2" t="s">
        <v>1908</v>
      </c>
      <c r="B1344" s="2" t="s">
        <v>5392</v>
      </c>
      <c r="C1344" s="2" t="s">
        <v>5393</v>
      </c>
      <c r="D1344" s="2" t="s">
        <v>5394</v>
      </c>
      <c r="E1344" s="3">
        <v>41970</v>
      </c>
      <c r="F1344" s="2" t="s">
        <v>5395</v>
      </c>
      <c r="G1344" s="2"/>
      <c r="H1344" s="2" t="s">
        <v>2425</v>
      </c>
      <c r="I1344" s="2" t="s">
        <v>2453</v>
      </c>
      <c r="J1344" s="3">
        <v>42030</v>
      </c>
      <c r="K1344" s="2" t="str">
        <f>HYPERLINK("https://docs.wto.org/imrd/directdoc.asp?DDFDocuments/t/G/SPS/NCAN898.DOC")</f>
        <v>https://docs.wto.org/imrd/directdoc.asp?DDFDocuments/t/G/SPS/NCAN898.DOC</v>
      </c>
      <c r="L1344" s="2" t="str">
        <f>HYPERLINK("https://docs.wto.org/imrd/directdoc.asp?DDFDocuments/u/G/SPS/NCAN898.DOC")</f>
        <v>https://docs.wto.org/imrd/directdoc.asp?DDFDocuments/u/G/SPS/NCAN898.DOC</v>
      </c>
      <c r="M1344" s="2" t="str">
        <f>HYPERLINK("https://docs.wto.org/imrd/directdoc.asp?DDFDocuments/v/G/SPS/NCAN898.DOC")</f>
        <v>https://docs.wto.org/imrd/directdoc.asp?DDFDocuments/v/G/SPS/NCAN898.DOC</v>
      </c>
      <c r="N1344" s="2" t="str">
        <f>HYPERLINK("http://www.epingalert.org/#/details/G/SPS/N/CAN/898")</f>
        <v>http://www.epingalert.org/#/details/G/SPS/N/CAN/898</v>
      </c>
      <c r="O1344" s="2"/>
    </row>
    <row r="1345" spans="1:15" ht="240" customHeight="1" outlineLevel="1" x14ac:dyDescent="0.25">
      <c r="A1345" s="2" t="s">
        <v>1042</v>
      </c>
      <c r="B1345" s="2" t="s">
        <v>8069</v>
      </c>
      <c r="C1345" s="2"/>
      <c r="D1345" s="2"/>
      <c r="E1345" s="3">
        <v>41969</v>
      </c>
      <c r="F1345" s="2" t="s">
        <v>8070</v>
      </c>
      <c r="G1345" s="2" t="s">
        <v>8071</v>
      </c>
      <c r="H1345" s="2" t="s">
        <v>2467</v>
      </c>
      <c r="I1345" s="2" t="s">
        <v>7034</v>
      </c>
      <c r="J1345" s="2"/>
      <c r="K1345" s="2" t="str">
        <f>HYPERLINK("https://docs.wto.org/imrd/directdoc.asp?DDFDocuments/t/G/SPS/NPHL134A1C1.DOC")</f>
        <v>https://docs.wto.org/imrd/directdoc.asp?DDFDocuments/t/G/SPS/NPHL134A1C1.DOC</v>
      </c>
      <c r="L1345" s="2" t="str">
        <f>HYPERLINK("https://docs.wto.org/imrd/directdoc.asp?DDFDocuments/u/G/SPS/NPHL134A1C1.DOC")</f>
        <v>https://docs.wto.org/imrd/directdoc.asp?DDFDocuments/u/G/SPS/NPHL134A1C1.DOC</v>
      </c>
      <c r="M1345" s="2" t="str">
        <f>HYPERLINK("null")</f>
        <v>null</v>
      </c>
      <c r="N1345" s="2" t="str">
        <f>HYPERLINK("http://www.epingalert.org/#/details/G/SPS/N/PHL/134/Add.1/Corr.1")</f>
        <v>http://www.epingalert.org/#/details/G/SPS/N/PHL/134/Add.1/Corr.1</v>
      </c>
      <c r="O1345" s="2"/>
    </row>
    <row r="1346" spans="1:15" ht="240" customHeight="1" outlineLevel="1" x14ac:dyDescent="0.25">
      <c r="A1346" s="2" t="s">
        <v>77</v>
      </c>
      <c r="B1346" s="2" t="s">
        <v>5397</v>
      </c>
      <c r="C1346" s="2" t="s">
        <v>5398</v>
      </c>
      <c r="D1346" s="2" t="s">
        <v>5399</v>
      </c>
      <c r="E1346" s="3">
        <v>41967</v>
      </c>
      <c r="F1346" s="2" t="s">
        <v>2612</v>
      </c>
      <c r="G1346" s="2"/>
      <c r="H1346" s="2" t="s">
        <v>2425</v>
      </c>
      <c r="I1346" s="2" t="s">
        <v>2535</v>
      </c>
      <c r="J1346" s="3">
        <v>42027</v>
      </c>
      <c r="K1346" s="2" t="str">
        <f>HYPERLINK("https://docs.wto.org/imrd/directdoc.asp?DDFDocuments/t/G/SPS/NTPKM314R1.DOC")</f>
        <v>https://docs.wto.org/imrd/directdoc.asp?DDFDocuments/t/G/SPS/NTPKM314R1.DOC</v>
      </c>
      <c r="L1346" s="2" t="str">
        <f>HYPERLINK("https://docs.wto.org/imrd/directdoc.asp?DDFDocuments/u/G/SPS/NTPKM314R1.DOC")</f>
        <v>https://docs.wto.org/imrd/directdoc.asp?DDFDocuments/u/G/SPS/NTPKM314R1.DOC</v>
      </c>
      <c r="M1346" s="2" t="str">
        <f>HYPERLINK("https://docs.wto.org/imrd/directdoc.asp?DDFDocuments/v/G/SPS/NTPKM314R1.DOC")</f>
        <v>https://docs.wto.org/imrd/directdoc.asp?DDFDocuments/v/G/SPS/NTPKM314R1.DOC</v>
      </c>
      <c r="N1346" s="2" t="str">
        <f>HYPERLINK("http://www.epingalert.org/#/details/G/SPS/N/TPKM/314/Rev.1")</f>
        <v>http://www.epingalert.org/#/details/G/SPS/N/TPKM/314/Rev.1</v>
      </c>
      <c r="O1346" s="2"/>
    </row>
    <row r="1347" spans="1:15" ht="240" customHeight="1" outlineLevel="1" x14ac:dyDescent="0.25">
      <c r="A1347" s="2" t="s">
        <v>18</v>
      </c>
      <c r="B1347" s="2" t="s">
        <v>5396</v>
      </c>
      <c r="C1347" s="2"/>
      <c r="D1347" s="2"/>
      <c r="E1347" s="3">
        <v>41967</v>
      </c>
      <c r="F1347" s="2" t="s">
        <v>2747</v>
      </c>
      <c r="G1347" s="2"/>
      <c r="H1347" s="2" t="s">
        <v>2648</v>
      </c>
      <c r="I1347" s="2" t="s">
        <v>2491</v>
      </c>
      <c r="J1347" s="2"/>
      <c r="K1347" s="2" t="str">
        <f>HYPERLINK("https://docs.wto.org/imrd/directdoc.asp?DDFDocuments/t/G/SPS/NUSA691A13.DOC")</f>
        <v>https://docs.wto.org/imrd/directdoc.asp?DDFDocuments/t/G/SPS/NUSA691A13.DOC</v>
      </c>
      <c r="L1347" s="2" t="str">
        <f>HYPERLINK("https://docs.wto.org/imrd/directdoc.asp?DDFDocuments/u/G/SPS/NUSA691A13.DOC")</f>
        <v>https://docs.wto.org/imrd/directdoc.asp?DDFDocuments/u/G/SPS/NUSA691A13.DOC</v>
      </c>
      <c r="M1347" s="2" t="str">
        <f>HYPERLINK("https://docs.wto.org/imrd/directdoc.asp?DDFDocuments/v/G/SPS/NUSA691A13.DOC")</f>
        <v>https://docs.wto.org/imrd/directdoc.asp?DDFDocuments/v/G/SPS/NUSA691A13.DOC</v>
      </c>
      <c r="N1347" s="2" t="str">
        <f>HYPERLINK("http://www.epingalert.org/#/details/G/SPS/N/USA/691/Add.13")</f>
        <v>http://www.epingalert.org/#/details/G/SPS/N/USA/691/Add.13</v>
      </c>
      <c r="O1347" s="2"/>
    </row>
    <row r="1348" spans="1:15" ht="240" customHeight="1" outlineLevel="1" x14ac:dyDescent="0.25">
      <c r="A1348" s="2" t="s">
        <v>1908</v>
      </c>
      <c r="B1348" s="2" t="s">
        <v>5400</v>
      </c>
      <c r="C1348" s="2"/>
      <c r="D1348" s="2"/>
      <c r="E1348" s="3">
        <v>41962</v>
      </c>
      <c r="F1348" s="2" t="s">
        <v>5401</v>
      </c>
      <c r="G1348" s="2"/>
      <c r="H1348" s="2" t="s">
        <v>2425</v>
      </c>
      <c r="I1348" s="2" t="s">
        <v>2444</v>
      </c>
      <c r="J1348" s="2"/>
      <c r="K1348" s="2" t="str">
        <f>HYPERLINK("https://docs.wto.org/imrd/directdoc.asp?DDFDocuments/t/G/SPS/NCAN863A1.DOC")</f>
        <v>https://docs.wto.org/imrd/directdoc.asp?DDFDocuments/t/G/SPS/NCAN863A1.DOC</v>
      </c>
      <c r="L1348" s="2" t="str">
        <f>HYPERLINK("https://docs.wto.org/imrd/directdoc.asp?DDFDocuments/u/G/SPS/NCAN863A1.DOC")</f>
        <v>https://docs.wto.org/imrd/directdoc.asp?DDFDocuments/u/G/SPS/NCAN863A1.DOC</v>
      </c>
      <c r="M1348" s="2" t="str">
        <f>HYPERLINK("https://docs.wto.org/imrd/directdoc.asp?DDFDocuments/v/G/SPS/NCAN863A1.DOC")</f>
        <v>https://docs.wto.org/imrd/directdoc.asp?DDFDocuments/v/G/SPS/NCAN863A1.DOC</v>
      </c>
      <c r="N1348" s="2" t="str">
        <f>HYPERLINK("http://www.epingalert.org/#/details/G/SPS/N/CAN/863/Add.1")</f>
        <v>http://www.epingalert.org/#/details/G/SPS/N/CAN/863/Add.1</v>
      </c>
      <c r="O1348" s="2"/>
    </row>
    <row r="1349" spans="1:15" ht="240" customHeight="1" outlineLevel="1" x14ac:dyDescent="0.25">
      <c r="A1349" s="2" t="s">
        <v>1908</v>
      </c>
      <c r="B1349" s="2" t="s">
        <v>5402</v>
      </c>
      <c r="C1349" s="2"/>
      <c r="D1349" s="2"/>
      <c r="E1349" s="3">
        <v>41962</v>
      </c>
      <c r="F1349" s="2" t="s">
        <v>5403</v>
      </c>
      <c r="G1349" s="2"/>
      <c r="H1349" s="2" t="s">
        <v>2425</v>
      </c>
      <c r="I1349" s="2" t="s">
        <v>2444</v>
      </c>
      <c r="J1349" s="2"/>
      <c r="K1349" s="2" t="str">
        <f>HYPERLINK("https://docs.wto.org/imrd/directdoc.asp?DDFDocuments/t/G/SPS/NCAN862A1.DOC")</f>
        <v>https://docs.wto.org/imrd/directdoc.asp?DDFDocuments/t/G/SPS/NCAN862A1.DOC</v>
      </c>
      <c r="L1349" s="2" t="str">
        <f>HYPERLINK("https://docs.wto.org/imrd/directdoc.asp?DDFDocuments/u/G/SPS/NCAN862A1.DOC")</f>
        <v>https://docs.wto.org/imrd/directdoc.asp?DDFDocuments/u/G/SPS/NCAN862A1.DOC</v>
      </c>
      <c r="M1349" s="2" t="str">
        <f>HYPERLINK("https://docs.wto.org/imrd/directdoc.asp?DDFDocuments/v/G/SPS/NCAN862A1.DOC")</f>
        <v>https://docs.wto.org/imrd/directdoc.asp?DDFDocuments/v/G/SPS/NCAN862A1.DOC</v>
      </c>
      <c r="N1349" s="2" t="str">
        <f>HYPERLINK("http://www.epingalert.org/#/details/G/SPS/N/CAN/862/Add.1")</f>
        <v>http://www.epingalert.org/#/details/G/SPS/N/CAN/862/Add.1</v>
      </c>
      <c r="O1349" s="2"/>
    </row>
    <row r="1350" spans="1:15" ht="240" customHeight="1" outlineLevel="1" x14ac:dyDescent="0.25">
      <c r="A1350" s="2" t="s">
        <v>12</v>
      </c>
      <c r="B1350" s="2" t="s">
        <v>5404</v>
      </c>
      <c r="C1350" s="2"/>
      <c r="D1350" s="2"/>
      <c r="E1350" s="3">
        <v>41961</v>
      </c>
      <c r="F1350" s="2" t="s">
        <v>3614</v>
      </c>
      <c r="G1350" s="2" t="s">
        <v>5405</v>
      </c>
      <c r="H1350" s="2" t="s">
        <v>2425</v>
      </c>
      <c r="I1350" s="2" t="s">
        <v>2453</v>
      </c>
      <c r="J1350" s="2"/>
      <c r="K1350" s="2" t="str">
        <f>HYPERLINK("https://docs.wto.org/imrd/directdoc.asp?DDFDocuments/t/G/SPS/NEU106C1.DOC")</f>
        <v>https://docs.wto.org/imrd/directdoc.asp?DDFDocuments/t/G/SPS/NEU106C1.DOC</v>
      </c>
      <c r="L1350" s="2" t="str">
        <f>HYPERLINK("https://docs.wto.org/imrd/directdoc.asp?DDFDocuments/u/G/SPS/NEU106C1.DOC")</f>
        <v>https://docs.wto.org/imrd/directdoc.asp?DDFDocuments/u/G/SPS/NEU106C1.DOC</v>
      </c>
      <c r="M1350" s="2" t="str">
        <f>HYPERLINK("null")</f>
        <v>null</v>
      </c>
      <c r="N1350" s="2" t="str">
        <f>HYPERLINK("http://www.epingalert.org/#/details/G/SPS/N/EU/106/Corr.1")</f>
        <v>http://www.epingalert.org/#/details/G/SPS/N/EU/106/Corr.1</v>
      </c>
      <c r="O1350" s="2"/>
    </row>
    <row r="1351" spans="1:15" ht="240" customHeight="1" outlineLevel="1" x14ac:dyDescent="0.25">
      <c r="A1351" s="2" t="s">
        <v>115</v>
      </c>
      <c r="B1351" s="2" t="s">
        <v>5406</v>
      </c>
      <c r="C1351" s="2" t="s">
        <v>2622</v>
      </c>
      <c r="D1351" s="2" t="s">
        <v>5407</v>
      </c>
      <c r="E1351" s="3">
        <v>41961</v>
      </c>
      <c r="F1351" s="2" t="s">
        <v>5408</v>
      </c>
      <c r="G1351" s="2"/>
      <c r="H1351" s="2" t="s">
        <v>2425</v>
      </c>
      <c r="I1351" s="2" t="s">
        <v>2426</v>
      </c>
      <c r="J1351" s="2"/>
      <c r="K1351" s="2" t="str">
        <f>HYPERLINK("https://docs.wto.org/imrd/directdoc.asp?DDFDocuments/t/G/SPS/NJPN377.DOC")</f>
        <v>https://docs.wto.org/imrd/directdoc.asp?DDFDocuments/t/G/SPS/NJPN377.DOC</v>
      </c>
      <c r="L1351" s="2" t="str">
        <f>HYPERLINK("https://docs.wto.org/imrd/directdoc.asp?DDFDocuments/u/G/SPS/NJPN377.DOC")</f>
        <v>https://docs.wto.org/imrd/directdoc.asp?DDFDocuments/u/G/SPS/NJPN377.DOC</v>
      </c>
      <c r="M1351" s="2" t="str">
        <f>HYPERLINK("https://docs.wto.org/imrd/directdoc.asp?DDFDocuments/v/G/SPS/NJPN377.DOC")</f>
        <v>https://docs.wto.org/imrd/directdoc.asp?DDFDocuments/v/G/SPS/NJPN377.DOC</v>
      </c>
      <c r="N1351" s="2" t="str">
        <f>HYPERLINK("http://www.epingalert.org/#/details/G/SPS/N/JPN/377")</f>
        <v>http://www.epingalert.org/#/details/G/SPS/N/JPN/377</v>
      </c>
      <c r="O1351" s="2"/>
    </row>
    <row r="1352" spans="1:15" ht="240" customHeight="1" outlineLevel="1" x14ac:dyDescent="0.25">
      <c r="A1352" s="2" t="s">
        <v>12</v>
      </c>
      <c r="B1352" s="2" t="s">
        <v>5409</v>
      </c>
      <c r="C1352" s="2" t="s">
        <v>5410</v>
      </c>
      <c r="D1352" s="2" t="s">
        <v>5411</v>
      </c>
      <c r="E1352" s="3">
        <v>41957</v>
      </c>
      <c r="F1352" s="2" t="s">
        <v>3614</v>
      </c>
      <c r="G1352" s="2" t="s">
        <v>5412</v>
      </c>
      <c r="H1352" s="2" t="s">
        <v>2425</v>
      </c>
      <c r="I1352" s="2" t="s">
        <v>2453</v>
      </c>
      <c r="J1352" s="3">
        <v>42017</v>
      </c>
      <c r="K1352" s="2" t="str">
        <f>HYPERLINK("https://docs.wto.org/imrd/directdoc.asp?DDFDocuments/t/G/SPS/NEU116.DOC")</f>
        <v>https://docs.wto.org/imrd/directdoc.asp?DDFDocuments/t/G/SPS/NEU116.DOC</v>
      </c>
      <c r="L1352" s="2" t="str">
        <f>HYPERLINK("https://docs.wto.org/imrd/directdoc.asp?DDFDocuments/u/G/SPS/NEU116.DOC")</f>
        <v>https://docs.wto.org/imrd/directdoc.asp?DDFDocuments/u/G/SPS/NEU116.DOC</v>
      </c>
      <c r="M1352" s="2" t="str">
        <f>HYPERLINK("https://docs.wto.org/imrd/directdoc.asp?DDFDocuments/v/G/SPS/NEU116.DOC")</f>
        <v>https://docs.wto.org/imrd/directdoc.asp?DDFDocuments/v/G/SPS/NEU116.DOC</v>
      </c>
      <c r="N1352" s="2" t="str">
        <f>HYPERLINK("http://www.epingalert.org/#/details/G/SPS/N/EU/116")</f>
        <v>http://www.epingalert.org/#/details/G/SPS/N/EU/116</v>
      </c>
      <c r="O1352" s="2"/>
    </row>
    <row r="1353" spans="1:15" ht="240" customHeight="1" outlineLevel="1" x14ac:dyDescent="0.25">
      <c r="A1353" s="2" t="s">
        <v>380</v>
      </c>
      <c r="B1353" s="2" t="s">
        <v>5413</v>
      </c>
      <c r="C1353" s="2" t="s">
        <v>2525</v>
      </c>
      <c r="D1353" s="2" t="s">
        <v>5414</v>
      </c>
      <c r="E1353" s="3">
        <v>41957</v>
      </c>
      <c r="F1353" s="2" t="s">
        <v>46</v>
      </c>
      <c r="G1353" s="2"/>
      <c r="H1353" s="2" t="s">
        <v>2425</v>
      </c>
      <c r="I1353" s="2" t="s">
        <v>2453</v>
      </c>
      <c r="J1353" s="3">
        <v>42017</v>
      </c>
      <c r="K1353" s="2" t="str">
        <f>HYPERLINK("https://docs.wto.org/imrd/directdoc.asp?DDFDocuments/t/G/SPS/NCHN701.DOC")</f>
        <v>https://docs.wto.org/imrd/directdoc.asp?DDFDocuments/t/G/SPS/NCHN701.DOC</v>
      </c>
      <c r="L1353" s="2" t="str">
        <f>HYPERLINK("https://docs.wto.org/imrd/directdoc.asp?DDFDocuments/u/G/SPS/NCHN701.DOC")</f>
        <v>https://docs.wto.org/imrd/directdoc.asp?DDFDocuments/u/G/SPS/NCHN701.DOC</v>
      </c>
      <c r="M1353" s="2" t="str">
        <f>HYPERLINK("https://docs.wto.org/imrd/directdoc.asp?DDFDocuments/v/G/SPS/NCHN701.DOC")</f>
        <v>https://docs.wto.org/imrd/directdoc.asp?DDFDocuments/v/G/SPS/NCHN701.DOC</v>
      </c>
      <c r="N1353" s="2" t="str">
        <f>HYPERLINK("http://www.epingalert.org/#/details/G/SPS/N/CHN/701")</f>
        <v>http://www.epingalert.org/#/details/G/SPS/N/CHN/701</v>
      </c>
      <c r="O1353" s="2"/>
    </row>
    <row r="1354" spans="1:15" ht="240" customHeight="1" outlineLevel="1" x14ac:dyDescent="0.25">
      <c r="A1354" s="2" t="s">
        <v>12</v>
      </c>
      <c r="B1354" s="2" t="s">
        <v>8075</v>
      </c>
      <c r="C1354" s="2" t="s">
        <v>8076</v>
      </c>
      <c r="D1354" s="2" t="s">
        <v>8077</v>
      </c>
      <c r="E1354" s="3">
        <v>41957</v>
      </c>
      <c r="F1354" s="2" t="s">
        <v>8078</v>
      </c>
      <c r="G1354" s="2" t="s">
        <v>2039</v>
      </c>
      <c r="H1354" s="2" t="s">
        <v>2425</v>
      </c>
      <c r="I1354" s="2" t="s">
        <v>8079</v>
      </c>
      <c r="J1354" s="3">
        <v>42017</v>
      </c>
      <c r="K1354" s="2" t="str">
        <f>HYPERLINK("https://docs.wto.org/imrd/directdoc.asp?DDFDocuments/t/G/SPS/NEU115.DOC")</f>
        <v>https://docs.wto.org/imrd/directdoc.asp?DDFDocuments/t/G/SPS/NEU115.DOC</v>
      </c>
      <c r="L1354" s="2" t="str">
        <f>HYPERLINK("https://docs.wto.org/imrd/directdoc.asp?DDFDocuments/u/G/SPS/NEU115.DOC")</f>
        <v>https://docs.wto.org/imrd/directdoc.asp?DDFDocuments/u/G/SPS/NEU115.DOC</v>
      </c>
      <c r="M1354" s="2" t="str">
        <f>HYPERLINK("https://docs.wto.org/imrd/directdoc.asp?DDFDocuments/v/G/SPS/NEU115.DOC")</f>
        <v>https://docs.wto.org/imrd/directdoc.asp?DDFDocuments/v/G/SPS/NEU115.DOC</v>
      </c>
      <c r="N1354" s="2" t="str">
        <f>HYPERLINK("http://www.epingalert.org/#/details/G/SPS/N/EU/115")</f>
        <v>http://www.epingalert.org/#/details/G/SPS/N/EU/115</v>
      </c>
      <c r="O1354" s="2"/>
    </row>
    <row r="1355" spans="1:15" ht="240" customHeight="1" outlineLevel="1" x14ac:dyDescent="0.25">
      <c r="A1355" s="2" t="s">
        <v>173</v>
      </c>
      <c r="B1355" s="2" t="s">
        <v>8080</v>
      </c>
      <c r="C1355" s="2" t="s">
        <v>8081</v>
      </c>
      <c r="D1355" s="2" t="s">
        <v>8082</v>
      </c>
      <c r="E1355" s="3">
        <v>41957</v>
      </c>
      <c r="F1355" s="2" t="s">
        <v>8083</v>
      </c>
      <c r="G1355" s="2" t="s">
        <v>8084</v>
      </c>
      <c r="H1355" s="2" t="s">
        <v>2425</v>
      </c>
      <c r="I1355" s="2" t="s">
        <v>2461</v>
      </c>
      <c r="J1355" s="3">
        <v>42017</v>
      </c>
      <c r="K1355" s="2" t="str">
        <f>HYPERLINK("https://docs.wto.org/imrd/directdoc.asp?DDFDocuments/t/G/SPS/NSAU120.DOC")</f>
        <v>https://docs.wto.org/imrd/directdoc.asp?DDFDocuments/t/G/SPS/NSAU120.DOC</v>
      </c>
      <c r="L1355" s="2" t="str">
        <f>HYPERLINK("https://docs.wto.org/imrd/directdoc.asp?DDFDocuments/u/G/SPS/NSAU120.DOC")</f>
        <v>https://docs.wto.org/imrd/directdoc.asp?DDFDocuments/u/G/SPS/NSAU120.DOC</v>
      </c>
      <c r="M1355" s="2" t="str">
        <f>HYPERLINK("https://docs.wto.org/imrd/directdoc.asp?DDFDocuments/v/G/SPS/NSAU120.DOC")</f>
        <v>https://docs.wto.org/imrd/directdoc.asp?DDFDocuments/v/G/SPS/NSAU120.DOC</v>
      </c>
      <c r="N1355" s="2" t="str">
        <f>HYPERLINK("http://www.epingalert.org/#/details/G/SPS/N/SAU/120")</f>
        <v>http://www.epingalert.org/#/details/G/SPS/N/SAU/120</v>
      </c>
      <c r="O1355" s="2"/>
    </row>
    <row r="1356" spans="1:15" ht="240" customHeight="1" outlineLevel="1" x14ac:dyDescent="0.25">
      <c r="A1356" s="2" t="s">
        <v>1042</v>
      </c>
      <c r="B1356" s="2" t="s">
        <v>8085</v>
      </c>
      <c r="C1356" s="2" t="s">
        <v>8086</v>
      </c>
      <c r="D1356" s="2" t="s">
        <v>8087</v>
      </c>
      <c r="E1356" s="3">
        <v>41957</v>
      </c>
      <c r="F1356" s="2" t="s">
        <v>8088</v>
      </c>
      <c r="G1356" s="2" t="s">
        <v>8089</v>
      </c>
      <c r="H1356" s="2" t="s">
        <v>2425</v>
      </c>
      <c r="I1356" s="2" t="s">
        <v>8090</v>
      </c>
      <c r="J1356" s="3">
        <v>42017</v>
      </c>
      <c r="K1356" s="2" t="str">
        <f>HYPERLINK("https://docs.wto.org/imrd/directdoc.asp?DDFDocuments/t/G/SPS/NPHL258.DOC")</f>
        <v>https://docs.wto.org/imrd/directdoc.asp?DDFDocuments/t/G/SPS/NPHL258.DOC</v>
      </c>
      <c r="L1356" s="2" t="str">
        <f>HYPERLINK("https://docs.wto.org/imrd/directdoc.asp?DDFDocuments/u/G/SPS/NPHL258.DOC")</f>
        <v>https://docs.wto.org/imrd/directdoc.asp?DDFDocuments/u/G/SPS/NPHL258.DOC</v>
      </c>
      <c r="M1356" s="2" t="str">
        <f>HYPERLINK("https://docs.wto.org/imrd/directdoc.asp?DDFDocuments/v/G/SPS/NPHL258.DOC")</f>
        <v>https://docs.wto.org/imrd/directdoc.asp?DDFDocuments/v/G/SPS/NPHL258.DOC</v>
      </c>
      <c r="N1356" s="2" t="str">
        <f>HYPERLINK("http://www.epingalert.org/#/details/G/SPS/N/PHL/258")</f>
        <v>http://www.epingalert.org/#/details/G/SPS/N/PHL/258</v>
      </c>
      <c r="O1356" s="2"/>
    </row>
    <row r="1357" spans="1:15" ht="240" customHeight="1" outlineLevel="1" x14ac:dyDescent="0.25">
      <c r="A1357" s="2" t="s">
        <v>1042</v>
      </c>
      <c r="B1357" s="2" t="s">
        <v>8091</v>
      </c>
      <c r="C1357" s="2" t="s">
        <v>8092</v>
      </c>
      <c r="D1357" s="2" t="s">
        <v>8093</v>
      </c>
      <c r="E1357" s="3">
        <v>41957</v>
      </c>
      <c r="F1357" s="2" t="s">
        <v>8094</v>
      </c>
      <c r="G1357" s="2" t="s">
        <v>8095</v>
      </c>
      <c r="H1357" s="2" t="s">
        <v>2425</v>
      </c>
      <c r="I1357" s="2" t="s">
        <v>8096</v>
      </c>
      <c r="J1357" s="3">
        <v>41795</v>
      </c>
      <c r="K1357" s="2" t="str">
        <f>HYPERLINK("https://docs.wto.org/imrd/directdoc.asp?DDFDocuments/t/G/SPS/NPHL257.DOC")</f>
        <v>https://docs.wto.org/imrd/directdoc.asp?DDFDocuments/t/G/SPS/NPHL257.DOC</v>
      </c>
      <c r="L1357" s="2" t="str">
        <f>HYPERLINK("https://docs.wto.org/imrd/directdoc.asp?DDFDocuments/u/G/SPS/NPHL257.DOC")</f>
        <v>https://docs.wto.org/imrd/directdoc.asp?DDFDocuments/u/G/SPS/NPHL257.DOC</v>
      </c>
      <c r="M1357" s="2" t="str">
        <f>HYPERLINK("https://docs.wto.org/imrd/directdoc.asp?DDFDocuments/v/G/SPS/NPHL257.DOC")</f>
        <v>https://docs.wto.org/imrd/directdoc.asp?DDFDocuments/v/G/SPS/NPHL257.DOC</v>
      </c>
      <c r="N1357" s="2" t="str">
        <f>HYPERLINK("http://www.epingalert.org/#/details/G/SPS/N/PHL/257")</f>
        <v>http://www.epingalert.org/#/details/G/SPS/N/PHL/257</v>
      </c>
      <c r="O1357" s="2"/>
    </row>
    <row r="1358" spans="1:15" ht="240" customHeight="1" outlineLevel="1" x14ac:dyDescent="0.25">
      <c r="A1358" s="2" t="s">
        <v>1042</v>
      </c>
      <c r="B1358" s="2" t="s">
        <v>8072</v>
      </c>
      <c r="C1358" s="2"/>
      <c r="D1358" s="2"/>
      <c r="E1358" s="3">
        <v>41957</v>
      </c>
      <c r="F1358" s="2" t="s">
        <v>8070</v>
      </c>
      <c r="G1358" s="2" t="s">
        <v>8073</v>
      </c>
      <c r="H1358" s="2" t="s">
        <v>2467</v>
      </c>
      <c r="I1358" s="2" t="s">
        <v>7034</v>
      </c>
      <c r="J1358" s="2"/>
      <c r="K1358" s="2" t="str">
        <f>HYPERLINK("https://docs.wto.org/imrd/directdoc.asp?DDFDocuments/t/G/SPS/NPHL134A1.DOC")</f>
        <v>https://docs.wto.org/imrd/directdoc.asp?DDFDocuments/t/G/SPS/NPHL134A1.DOC</v>
      </c>
      <c r="L1358" s="2" t="str">
        <f>HYPERLINK("https://docs.wto.org/imrd/directdoc.asp?DDFDocuments/u/G/SPS/NPHL134A1.DOC")</f>
        <v>https://docs.wto.org/imrd/directdoc.asp?DDFDocuments/u/G/SPS/NPHL134A1.DOC</v>
      </c>
      <c r="M1358" s="2" t="str">
        <f>HYPERLINK("https://docs.wto.org/imrd/directdoc.asp?DDFDocuments/v/G/SPS/NPHL134A1.DOC")</f>
        <v>https://docs.wto.org/imrd/directdoc.asp?DDFDocuments/v/G/SPS/NPHL134A1.DOC</v>
      </c>
      <c r="N1358" s="2" t="str">
        <f>HYPERLINK("http://www.epingalert.org/#/details/G/SPS/N/PHL/134/Add.1")</f>
        <v>http://www.epingalert.org/#/details/G/SPS/N/PHL/134/Add.1</v>
      </c>
      <c r="O1358" s="2"/>
    </row>
    <row r="1359" spans="1:15" ht="240" customHeight="1" outlineLevel="1" x14ac:dyDescent="0.25">
      <c r="A1359" s="2" t="s">
        <v>12</v>
      </c>
      <c r="B1359" s="2" t="s">
        <v>8097</v>
      </c>
      <c r="C1359" s="2"/>
      <c r="D1359" s="2"/>
      <c r="E1359" s="3">
        <v>41956</v>
      </c>
      <c r="F1359" s="2" t="s">
        <v>8098</v>
      </c>
      <c r="G1359" s="2" t="s">
        <v>8099</v>
      </c>
      <c r="H1359" s="2" t="s">
        <v>2425</v>
      </c>
      <c r="I1359" s="2" t="s">
        <v>2444</v>
      </c>
      <c r="J1359" s="2"/>
      <c r="K1359" s="2" t="str">
        <f>HYPERLINK("https://docs.wto.org/imrd/directdoc.asp?DDFDocuments/t/G/SPS/NEU55A1.DOC")</f>
        <v>https://docs.wto.org/imrd/directdoc.asp?DDFDocuments/t/G/SPS/NEU55A1.DOC</v>
      </c>
      <c r="L1359" s="2" t="str">
        <f>HYPERLINK("https://docs.wto.org/imrd/directdoc.asp?DDFDocuments/u/G/SPS/NEU55A1.DOC")</f>
        <v>https://docs.wto.org/imrd/directdoc.asp?DDFDocuments/u/G/SPS/NEU55A1.DOC</v>
      </c>
      <c r="M1359" s="2" t="str">
        <f>HYPERLINK("https://docs.wto.org/imrd/directdoc.asp?DDFDocuments/v/G/SPS/NEU55A1.DOC")</f>
        <v>https://docs.wto.org/imrd/directdoc.asp?DDFDocuments/v/G/SPS/NEU55A1.DOC</v>
      </c>
      <c r="N1359" s="2" t="str">
        <f>HYPERLINK("http://www.epingalert.org/#/details/G/SPS/N/EU/55/Add.1")</f>
        <v>http://www.epingalert.org/#/details/G/SPS/N/EU/55/Add.1</v>
      </c>
      <c r="O1359" s="2"/>
    </row>
    <row r="1360" spans="1:15" ht="240" customHeight="1" outlineLevel="1" x14ac:dyDescent="0.25">
      <c r="A1360" s="2" t="s">
        <v>2544</v>
      </c>
      <c r="B1360" s="2" t="s">
        <v>5415</v>
      </c>
      <c r="C1360" s="2" t="s">
        <v>5416</v>
      </c>
      <c r="D1360" s="2" t="s">
        <v>5417</v>
      </c>
      <c r="E1360" s="3">
        <v>41955</v>
      </c>
      <c r="F1360" s="2" t="s">
        <v>5418</v>
      </c>
      <c r="G1360" s="2" t="s">
        <v>2039</v>
      </c>
      <c r="H1360" s="2" t="s">
        <v>2425</v>
      </c>
      <c r="I1360" s="2" t="s">
        <v>5419</v>
      </c>
      <c r="J1360" s="3">
        <v>42015</v>
      </c>
      <c r="K1360" s="2" t="str">
        <f>HYPERLINK("https://docs.wto.org/imrd/directdoc.asp?DDFDocuments/t/G/SPS/NCHL489.DOC")</f>
        <v>https://docs.wto.org/imrd/directdoc.asp?DDFDocuments/t/G/SPS/NCHL489.DOC</v>
      </c>
      <c r="L1360" s="2" t="str">
        <f>HYPERLINK("https://docs.wto.org/imrd/directdoc.asp?DDFDocuments/u/G/SPS/NCHL489.DOC")</f>
        <v>https://docs.wto.org/imrd/directdoc.asp?DDFDocuments/u/G/SPS/NCHL489.DOC</v>
      </c>
      <c r="M1360" s="2" t="str">
        <f>HYPERLINK("https://docs.wto.org/imrd/directdoc.asp?DDFDocuments/v/G/SPS/NCHL489.DOC")</f>
        <v>https://docs.wto.org/imrd/directdoc.asp?DDFDocuments/v/G/SPS/NCHL489.DOC</v>
      </c>
      <c r="N1360" s="2" t="str">
        <f>HYPERLINK("http://www.epingalert.org/#/details/G/SPS/N/CHL/489")</f>
        <v>http://www.epingalert.org/#/details/G/SPS/N/CHL/489</v>
      </c>
      <c r="O1360" s="2"/>
    </row>
    <row r="1361" spans="1:15" ht="240" customHeight="1" outlineLevel="1" x14ac:dyDescent="0.25">
      <c r="A1361" s="2" t="s">
        <v>225</v>
      </c>
      <c r="B1361" s="2" t="s">
        <v>5420</v>
      </c>
      <c r="C1361" s="2" t="s">
        <v>5421</v>
      </c>
      <c r="D1361" s="2" t="s">
        <v>2494</v>
      </c>
      <c r="E1361" s="3">
        <v>41954</v>
      </c>
      <c r="F1361" s="2" t="s">
        <v>2430</v>
      </c>
      <c r="G1361" s="2"/>
      <c r="H1361" s="2" t="s">
        <v>2425</v>
      </c>
      <c r="I1361" s="2" t="s">
        <v>2431</v>
      </c>
      <c r="J1361" s="3">
        <v>42023</v>
      </c>
      <c r="K1361" s="2" t="str">
        <f>HYPERLINK("https://docs.wto.org/imrd/directdoc.asp?DDFDocuments/t/G/SPS/NAUS350.DOC")</f>
        <v>https://docs.wto.org/imrd/directdoc.asp?DDFDocuments/t/G/SPS/NAUS350.DOC</v>
      </c>
      <c r="L1361" s="2" t="str">
        <f>HYPERLINK("https://docs.wto.org/imrd/directdoc.asp?DDFDocuments/u/G/SPS/NAUS350.DOC")</f>
        <v>https://docs.wto.org/imrd/directdoc.asp?DDFDocuments/u/G/SPS/NAUS350.DOC</v>
      </c>
      <c r="M1361" s="2" t="str">
        <f>HYPERLINK("https://docs.wto.org/imrd/directdoc.asp?DDFDocuments/v/G/SPS/NAUS350.DOC")</f>
        <v>https://docs.wto.org/imrd/directdoc.asp?DDFDocuments/v/G/SPS/NAUS350.DOC</v>
      </c>
      <c r="N1361" s="2" t="str">
        <f>HYPERLINK("http://www.epingalert.org/#/details/G/SPS/N/AUS/350")</f>
        <v>http://www.epingalert.org/#/details/G/SPS/N/AUS/350</v>
      </c>
      <c r="O1361" s="2"/>
    </row>
    <row r="1362" spans="1:15" ht="240" customHeight="1" outlineLevel="1" x14ac:dyDescent="0.25">
      <c r="A1362" s="2" t="s">
        <v>37</v>
      </c>
      <c r="B1362" s="2" t="s">
        <v>6546</v>
      </c>
      <c r="C1362" s="2" t="s">
        <v>6547</v>
      </c>
      <c r="D1362" s="2" t="s">
        <v>6548</v>
      </c>
      <c r="E1362" s="3">
        <v>41953</v>
      </c>
      <c r="F1362" s="2" t="s">
        <v>1564</v>
      </c>
      <c r="G1362" s="2" t="s">
        <v>1646</v>
      </c>
      <c r="H1362" s="2" t="s">
        <v>2425</v>
      </c>
      <c r="I1362" s="2" t="s">
        <v>6549</v>
      </c>
      <c r="J1362" s="3">
        <v>42019</v>
      </c>
      <c r="K1362" s="2" t="str">
        <f>HYPERLINK("https://docs.wto.org/imrd/directdoc.asp?DDFDocuments/t/G/SPS/NTUR50.DOC")</f>
        <v>https://docs.wto.org/imrd/directdoc.asp?DDFDocuments/t/G/SPS/NTUR50.DOC</v>
      </c>
      <c r="L1362" s="2" t="str">
        <f>HYPERLINK("https://docs.wto.org/imrd/directdoc.asp?DDFDocuments/u/G/SPS/NTUR50.DOC")</f>
        <v>https://docs.wto.org/imrd/directdoc.asp?DDFDocuments/u/G/SPS/NTUR50.DOC</v>
      </c>
      <c r="M1362" s="2" t="str">
        <f>HYPERLINK("https://docs.wto.org/imrd/directdoc.asp?DDFDocuments/v/G/SPS/NTUR50.DOC")</f>
        <v>https://docs.wto.org/imrd/directdoc.asp?DDFDocuments/v/G/SPS/NTUR50.DOC</v>
      </c>
      <c r="N1362" s="2" t="str">
        <f>HYPERLINK("http://www.epingalert.org/#/details/G/SPS/N/TUR/50")</f>
        <v>http://www.epingalert.org/#/details/G/SPS/N/TUR/50</v>
      </c>
      <c r="O1362" s="2"/>
    </row>
    <row r="1363" spans="1:15" ht="240" customHeight="1" outlineLevel="1" x14ac:dyDescent="0.25">
      <c r="A1363" s="2" t="s">
        <v>282</v>
      </c>
      <c r="B1363" s="2" t="s">
        <v>5428</v>
      </c>
      <c r="C1363" s="2" t="s">
        <v>5429</v>
      </c>
      <c r="D1363" s="2" t="s">
        <v>5430</v>
      </c>
      <c r="E1363" s="3">
        <v>41953</v>
      </c>
      <c r="F1363" s="2" t="s">
        <v>5431</v>
      </c>
      <c r="G1363" s="2" t="s">
        <v>5432</v>
      </c>
      <c r="H1363" s="2" t="s">
        <v>2648</v>
      </c>
      <c r="I1363" s="2" t="s">
        <v>5433</v>
      </c>
      <c r="J1363" s="3">
        <v>42013</v>
      </c>
      <c r="K1363" s="2" t="str">
        <f>HYPERLINK("https://docs.wto.org/imrd/directdoc.asp?DDFDocuments/t/G/SPS/NRUS82.DOC")</f>
        <v>https://docs.wto.org/imrd/directdoc.asp?DDFDocuments/t/G/SPS/NRUS82.DOC</v>
      </c>
      <c r="L1363" s="2" t="str">
        <f>HYPERLINK("https://docs.wto.org/imrd/directdoc.asp?DDFDocuments/u/G/SPS/NRUS82.DOC")</f>
        <v>https://docs.wto.org/imrd/directdoc.asp?DDFDocuments/u/G/SPS/NRUS82.DOC</v>
      </c>
      <c r="M1363" s="2" t="str">
        <f>HYPERLINK("https://docs.wto.org/imrd/directdoc.asp?DDFDocuments/v/G/SPS/NRUS82.DOC")</f>
        <v>https://docs.wto.org/imrd/directdoc.asp?DDFDocuments/v/G/SPS/NRUS82.DOC</v>
      </c>
      <c r="N1363" s="2" t="str">
        <f>HYPERLINK("http://www.epingalert.org/#/details/G/SPS/N/RUS/82")</f>
        <v>http://www.epingalert.org/#/details/G/SPS/N/RUS/82</v>
      </c>
      <c r="O1363" s="2"/>
    </row>
    <row r="1364" spans="1:15" ht="240" customHeight="1" outlineLevel="1" x14ac:dyDescent="0.25">
      <c r="A1364" s="2" t="s">
        <v>42</v>
      </c>
      <c r="B1364" s="2" t="s">
        <v>5434</v>
      </c>
      <c r="C1364" s="2" t="s">
        <v>5435</v>
      </c>
      <c r="D1364" s="2" t="s">
        <v>5436</v>
      </c>
      <c r="E1364" s="3">
        <v>41953</v>
      </c>
      <c r="F1364" s="2" t="s">
        <v>5436</v>
      </c>
      <c r="G1364" s="2"/>
      <c r="H1364" s="2" t="s">
        <v>2573</v>
      </c>
      <c r="I1364" s="2" t="s">
        <v>2453</v>
      </c>
      <c r="J1364" s="3">
        <v>41971</v>
      </c>
      <c r="K1364" s="2" t="str">
        <f>HYPERLINK("https://docs.wto.org/imrd/directdoc.asp?DDFDocuments/t/G/SPS/NBRA1002.DOC")</f>
        <v>https://docs.wto.org/imrd/directdoc.asp?DDFDocuments/t/G/SPS/NBRA1002.DOC</v>
      </c>
      <c r="L1364" s="2" t="str">
        <f>HYPERLINK("https://docs.wto.org/imrd/directdoc.asp?DDFDocuments/u/G/SPS/NBRA1002.DOC")</f>
        <v>https://docs.wto.org/imrd/directdoc.asp?DDFDocuments/u/G/SPS/NBRA1002.DOC</v>
      </c>
      <c r="M1364" s="2" t="str">
        <f>HYPERLINK("https://docs.wto.org/imrd/directdoc.asp?DDFDocuments/v/G/SPS/NBRA1002.DOC")</f>
        <v>https://docs.wto.org/imrd/directdoc.asp?DDFDocuments/v/G/SPS/NBRA1002.DOC</v>
      </c>
      <c r="N1364" s="2" t="str">
        <f>HYPERLINK("http://www.epingalert.org/#/details/G/SPS/N/BRA/1002")</f>
        <v>http://www.epingalert.org/#/details/G/SPS/N/BRA/1002</v>
      </c>
      <c r="O1364" s="2"/>
    </row>
    <row r="1365" spans="1:15" ht="240" customHeight="1" outlineLevel="1" x14ac:dyDescent="0.25">
      <c r="A1365" s="2" t="s">
        <v>42</v>
      </c>
      <c r="B1365" s="2" t="s">
        <v>5437</v>
      </c>
      <c r="C1365" s="2" t="s">
        <v>5438</v>
      </c>
      <c r="D1365" s="2" t="s">
        <v>5439</v>
      </c>
      <c r="E1365" s="3">
        <v>41953</v>
      </c>
      <c r="F1365" s="2" t="s">
        <v>5440</v>
      </c>
      <c r="G1365" s="2"/>
      <c r="H1365" s="2" t="s">
        <v>2573</v>
      </c>
      <c r="I1365" s="2" t="s">
        <v>2453</v>
      </c>
      <c r="J1365" s="3">
        <v>41971</v>
      </c>
      <c r="K1365" s="2" t="str">
        <f>HYPERLINK("https://docs.wto.org/imrd/directdoc.asp?DDFDocuments/t/G/SPS/NBRA1001.DOC")</f>
        <v>https://docs.wto.org/imrd/directdoc.asp?DDFDocuments/t/G/SPS/NBRA1001.DOC</v>
      </c>
      <c r="L1365" s="2" t="str">
        <f>HYPERLINK("https://docs.wto.org/imrd/directdoc.asp?DDFDocuments/u/G/SPS/NBRA1001.DOC")</f>
        <v>https://docs.wto.org/imrd/directdoc.asp?DDFDocuments/u/G/SPS/NBRA1001.DOC</v>
      </c>
      <c r="M1365" s="2" t="str">
        <f>HYPERLINK("https://docs.wto.org/imrd/directdoc.asp?DDFDocuments/v/G/SPS/NBRA1001.DOC")</f>
        <v>https://docs.wto.org/imrd/directdoc.asp?DDFDocuments/v/G/SPS/NBRA1001.DOC</v>
      </c>
      <c r="N1365" s="2" t="str">
        <f>HYPERLINK("http://www.epingalert.org/#/details/G/SPS/N/BRA/1001")</f>
        <v>http://www.epingalert.org/#/details/G/SPS/N/BRA/1001</v>
      </c>
      <c r="O1365" s="2"/>
    </row>
    <row r="1366" spans="1:15" ht="240" customHeight="1" outlineLevel="1" x14ac:dyDescent="0.25">
      <c r="A1366" s="2" t="s">
        <v>31</v>
      </c>
      <c r="B1366" s="2" t="s">
        <v>5422</v>
      </c>
      <c r="C1366" s="2"/>
      <c r="D1366" s="2"/>
      <c r="E1366" s="3">
        <v>41953</v>
      </c>
      <c r="F1366" s="2" t="s">
        <v>5423</v>
      </c>
      <c r="G1366" s="2"/>
      <c r="H1366" s="2" t="s">
        <v>2425</v>
      </c>
      <c r="I1366" s="2" t="s">
        <v>2444</v>
      </c>
      <c r="J1366" s="2"/>
      <c r="K1366" s="2" t="str">
        <f>HYPERLINK("https://docs.wto.org/imrd/directdoc.asp?DDFDocuments/t/G/SPS/NTHA219A2.DOC")</f>
        <v>https://docs.wto.org/imrd/directdoc.asp?DDFDocuments/t/G/SPS/NTHA219A2.DOC</v>
      </c>
      <c r="L1366" s="2" t="str">
        <f>HYPERLINK("https://docs.wto.org/imrd/directdoc.asp?DDFDocuments/u/G/SPS/NTHA219A2.DOC")</f>
        <v>https://docs.wto.org/imrd/directdoc.asp?DDFDocuments/u/G/SPS/NTHA219A2.DOC</v>
      </c>
      <c r="M1366" s="2" t="str">
        <f>HYPERLINK("https://docs.wto.org/imrd/directdoc.asp?DDFDocuments/v/G/SPS/NTHA219A2.DOC")</f>
        <v>https://docs.wto.org/imrd/directdoc.asp?DDFDocuments/v/G/SPS/NTHA219A2.DOC</v>
      </c>
      <c r="N1366" s="2" t="str">
        <f>HYPERLINK("http://www.epingalert.org/#/details/G/SPS/N/THA/219/Add.2")</f>
        <v>http://www.epingalert.org/#/details/G/SPS/N/THA/219/Add.2</v>
      </c>
      <c r="O1366" s="2"/>
    </row>
    <row r="1367" spans="1:15" ht="240" customHeight="1" outlineLevel="1" x14ac:dyDescent="0.25">
      <c r="A1367" s="2" t="s">
        <v>18</v>
      </c>
      <c r="B1367" s="2" t="s">
        <v>5424</v>
      </c>
      <c r="C1367" s="2" t="s">
        <v>5425</v>
      </c>
      <c r="D1367" s="2" t="s">
        <v>5426</v>
      </c>
      <c r="E1367" s="3">
        <v>41953</v>
      </c>
      <c r="F1367" s="2" t="s">
        <v>5427</v>
      </c>
      <c r="G1367" s="2"/>
      <c r="H1367" s="2" t="s">
        <v>2425</v>
      </c>
      <c r="I1367" s="2" t="s">
        <v>2453</v>
      </c>
      <c r="J1367" s="2"/>
      <c r="K1367" s="2" t="str">
        <f>HYPERLINK("https://docs.wto.org/imrd/directdoc.asp?DDFDocuments/t/G/SPS/NUSA2715.DOC")</f>
        <v>https://docs.wto.org/imrd/directdoc.asp?DDFDocuments/t/G/SPS/NUSA2715.DOC</v>
      </c>
      <c r="L1367" s="2" t="str">
        <f>HYPERLINK("https://docs.wto.org/imrd/directdoc.asp?DDFDocuments/u/G/SPS/NUSA2715.DOC")</f>
        <v>https://docs.wto.org/imrd/directdoc.asp?DDFDocuments/u/G/SPS/NUSA2715.DOC</v>
      </c>
      <c r="M1367" s="2" t="str">
        <f>HYPERLINK("https://docs.wto.org/imrd/directdoc.asp?DDFDocuments/v/G/SPS/NUSA2715.DOC")</f>
        <v>https://docs.wto.org/imrd/directdoc.asp?DDFDocuments/v/G/SPS/NUSA2715.DOC</v>
      </c>
      <c r="N1367" s="2" t="str">
        <f>HYPERLINK("http://www.epingalert.org/#/details/G/SPS/N/USA/2715")</f>
        <v>http://www.epingalert.org/#/details/G/SPS/N/USA/2715</v>
      </c>
      <c r="O1367" s="2"/>
    </row>
    <row r="1368" spans="1:15" ht="240" customHeight="1" outlineLevel="1" x14ac:dyDescent="0.25">
      <c r="A1368" s="2" t="s">
        <v>12</v>
      </c>
      <c r="B1368" s="2" t="s">
        <v>8100</v>
      </c>
      <c r="C1368" s="2" t="s">
        <v>8101</v>
      </c>
      <c r="D1368" s="2" t="s">
        <v>8102</v>
      </c>
      <c r="E1368" s="3">
        <v>41953</v>
      </c>
      <c r="F1368" s="2" t="s">
        <v>8103</v>
      </c>
      <c r="G1368" s="2" t="s">
        <v>2039</v>
      </c>
      <c r="H1368" s="2" t="s">
        <v>2425</v>
      </c>
      <c r="I1368" s="2" t="s">
        <v>3081</v>
      </c>
      <c r="J1368" s="2"/>
      <c r="K1368" s="2" t="str">
        <f>HYPERLINK("https://docs.wto.org/imrd/directdoc.asp?DDFDocuments/t/G/SPS/NEU114.DOC")</f>
        <v>https://docs.wto.org/imrd/directdoc.asp?DDFDocuments/t/G/SPS/NEU114.DOC</v>
      </c>
      <c r="L1368" s="2" t="str">
        <f>HYPERLINK("https://docs.wto.org/imrd/directdoc.asp?DDFDocuments/u/G/SPS/NEU114.DOC")</f>
        <v>https://docs.wto.org/imrd/directdoc.asp?DDFDocuments/u/G/SPS/NEU114.DOC</v>
      </c>
      <c r="M1368" s="2" t="str">
        <f>HYPERLINK("https://docs.wto.org/imrd/directdoc.asp?DDFDocuments/v/G/SPS/NEU114.DOC")</f>
        <v>https://docs.wto.org/imrd/directdoc.asp?DDFDocuments/v/G/SPS/NEU114.DOC</v>
      </c>
      <c r="N1368" s="2" t="str">
        <f>HYPERLINK("http://www.epingalert.org/#/details/G/SPS/N/EU/114")</f>
        <v>http://www.epingalert.org/#/details/G/SPS/N/EU/114</v>
      </c>
      <c r="O1368" s="2"/>
    </row>
    <row r="1369" spans="1:15" ht="240" customHeight="1" outlineLevel="1" x14ac:dyDescent="0.25">
      <c r="A1369" s="2" t="s">
        <v>42</v>
      </c>
      <c r="B1369" s="2" t="s">
        <v>5443</v>
      </c>
      <c r="C1369" s="2" t="s">
        <v>5444</v>
      </c>
      <c r="D1369" s="2" t="s">
        <v>5445</v>
      </c>
      <c r="E1369" s="3">
        <v>41949</v>
      </c>
      <c r="F1369" s="2" t="s">
        <v>5446</v>
      </c>
      <c r="G1369" s="2"/>
      <c r="H1369" s="2" t="s">
        <v>2425</v>
      </c>
      <c r="I1369" s="2" t="s">
        <v>2453</v>
      </c>
      <c r="J1369" s="3">
        <v>41971</v>
      </c>
      <c r="K1369" s="2" t="str">
        <f>HYPERLINK("https://docs.wto.org/imrd/directdoc.asp?DDFDocuments/t/G/SPS/NBRA999.DOC")</f>
        <v>https://docs.wto.org/imrd/directdoc.asp?DDFDocuments/t/G/SPS/NBRA999.DOC</v>
      </c>
      <c r="L1369" s="2" t="str">
        <f>HYPERLINK("https://docs.wto.org/imrd/directdoc.asp?DDFDocuments/u/G/SPS/NBRA999.DOC")</f>
        <v>https://docs.wto.org/imrd/directdoc.asp?DDFDocuments/u/G/SPS/NBRA999.DOC</v>
      </c>
      <c r="M1369" s="2" t="str">
        <f>HYPERLINK("https://docs.wto.org/imrd/directdoc.asp?DDFDocuments/v/G/SPS/NBRA999.DOC")</f>
        <v>https://docs.wto.org/imrd/directdoc.asp?DDFDocuments/v/G/SPS/NBRA999.DOC</v>
      </c>
      <c r="N1369" s="2" t="str">
        <f>HYPERLINK("http://www.epingalert.org/#/details/G/SPS/N/BRA/999")</f>
        <v>http://www.epingalert.org/#/details/G/SPS/N/BRA/999</v>
      </c>
      <c r="O1369" s="2"/>
    </row>
    <row r="1370" spans="1:15" ht="240" customHeight="1" outlineLevel="1" x14ac:dyDescent="0.25">
      <c r="A1370" s="2" t="s">
        <v>42</v>
      </c>
      <c r="B1370" s="2" t="s">
        <v>5447</v>
      </c>
      <c r="C1370" s="2" t="s">
        <v>5448</v>
      </c>
      <c r="D1370" s="2" t="s">
        <v>5449</v>
      </c>
      <c r="E1370" s="3">
        <v>41949</v>
      </c>
      <c r="F1370" s="2" t="s">
        <v>5450</v>
      </c>
      <c r="G1370" s="2"/>
      <c r="H1370" s="2" t="s">
        <v>2425</v>
      </c>
      <c r="I1370" s="2" t="s">
        <v>2453</v>
      </c>
      <c r="J1370" s="3">
        <v>41971</v>
      </c>
      <c r="K1370" s="2" t="str">
        <f>HYPERLINK("https://docs.wto.org/imrd/directdoc.asp?DDFDocuments/t/G/SPS/NBRA997.DOC")</f>
        <v>https://docs.wto.org/imrd/directdoc.asp?DDFDocuments/t/G/SPS/NBRA997.DOC</v>
      </c>
      <c r="L1370" s="2" t="str">
        <f>HYPERLINK("https://docs.wto.org/imrd/directdoc.asp?DDFDocuments/u/G/SPS/NBRA997.DOC")</f>
        <v>https://docs.wto.org/imrd/directdoc.asp?DDFDocuments/u/G/SPS/NBRA997.DOC</v>
      </c>
      <c r="M1370" s="2" t="str">
        <f>HYPERLINK("https://docs.wto.org/imrd/directdoc.asp?DDFDocuments/v/G/SPS/NBRA997.DOC")</f>
        <v>https://docs.wto.org/imrd/directdoc.asp?DDFDocuments/v/G/SPS/NBRA997.DOC</v>
      </c>
      <c r="N1370" s="2" t="str">
        <f>HYPERLINK("http://www.epingalert.org/#/details/G/SPS/N/BRA/997")</f>
        <v>http://www.epingalert.org/#/details/G/SPS/N/BRA/997</v>
      </c>
      <c r="O1370" s="2"/>
    </row>
    <row r="1371" spans="1:15" ht="240" customHeight="1" outlineLevel="1" x14ac:dyDescent="0.25">
      <c r="A1371" s="2" t="s">
        <v>1908</v>
      </c>
      <c r="B1371" s="2" t="s">
        <v>5441</v>
      </c>
      <c r="C1371" s="2"/>
      <c r="D1371" s="2"/>
      <c r="E1371" s="3">
        <v>41949</v>
      </c>
      <c r="F1371" s="2" t="s">
        <v>5442</v>
      </c>
      <c r="G1371" s="2"/>
      <c r="H1371" s="2" t="s">
        <v>2425</v>
      </c>
      <c r="I1371" s="2" t="s">
        <v>2444</v>
      </c>
      <c r="J1371" s="2"/>
      <c r="K1371" s="2" t="str">
        <f>HYPERLINK("https://docs.wto.org/imrd/directdoc.asp?DDFDocuments/t/G/SPS/NCAN856A1.DOC")</f>
        <v>https://docs.wto.org/imrd/directdoc.asp?DDFDocuments/t/G/SPS/NCAN856A1.DOC</v>
      </c>
      <c r="L1371" s="2" t="str">
        <f>HYPERLINK("https://docs.wto.org/imrd/directdoc.asp?DDFDocuments/u/G/SPS/NCAN856A1.DOC")</f>
        <v>https://docs.wto.org/imrd/directdoc.asp?DDFDocuments/u/G/SPS/NCAN856A1.DOC</v>
      </c>
      <c r="M1371" s="2" t="str">
        <f>HYPERLINK("https://docs.wto.org/imrd/directdoc.asp?DDFDocuments/v/G/SPS/NCAN856A1.DOC")</f>
        <v>https://docs.wto.org/imrd/directdoc.asp?DDFDocuments/v/G/SPS/NCAN856A1.DOC</v>
      </c>
      <c r="N1371" s="2" t="str">
        <f>HYPERLINK("http://www.epingalert.org/#/details/G/SPS/N/CAN/856/Add.1")</f>
        <v>http://www.epingalert.org/#/details/G/SPS/N/CAN/856/Add.1</v>
      </c>
      <c r="O1371" s="2"/>
    </row>
    <row r="1372" spans="1:15" ht="240" customHeight="1" outlineLevel="1" x14ac:dyDescent="0.25">
      <c r="A1372" s="2" t="s">
        <v>1908</v>
      </c>
      <c r="B1372" s="2" t="s">
        <v>5457</v>
      </c>
      <c r="C1372" s="2" t="s">
        <v>5458</v>
      </c>
      <c r="D1372" s="2" t="s">
        <v>5459</v>
      </c>
      <c r="E1372" s="3">
        <v>41948</v>
      </c>
      <c r="F1372" s="2" t="s">
        <v>5460</v>
      </c>
      <c r="G1372" s="2"/>
      <c r="H1372" s="2" t="s">
        <v>2425</v>
      </c>
      <c r="I1372" s="2" t="s">
        <v>2499</v>
      </c>
      <c r="J1372" s="3">
        <v>42020</v>
      </c>
      <c r="K1372" s="2" t="str">
        <f>HYPERLINK("https://docs.wto.org/imrd/directdoc.asp?DDFDocuments/t/G/SPS/NCAN896.DOC")</f>
        <v>https://docs.wto.org/imrd/directdoc.asp?DDFDocuments/t/G/SPS/NCAN896.DOC</v>
      </c>
      <c r="L1372" s="2" t="str">
        <f>HYPERLINK("https://docs.wto.org/imrd/directdoc.asp?DDFDocuments/u/G/SPS/NCAN896.DOC")</f>
        <v>https://docs.wto.org/imrd/directdoc.asp?DDFDocuments/u/G/SPS/NCAN896.DOC</v>
      </c>
      <c r="M1372" s="2" t="str">
        <f>HYPERLINK("https://docs.wto.org/imrd/directdoc.asp?DDFDocuments/v/G/SPS/NCAN896.DOC")</f>
        <v>https://docs.wto.org/imrd/directdoc.asp?DDFDocuments/v/G/SPS/NCAN896.DOC</v>
      </c>
      <c r="N1372" s="2" t="str">
        <f>HYPERLINK("http://www.epingalert.org/#/details/G/SPS/N/CAN/896")</f>
        <v>http://www.epingalert.org/#/details/G/SPS/N/CAN/896</v>
      </c>
      <c r="O1372" s="2"/>
    </row>
    <row r="1373" spans="1:15" ht="240" customHeight="1" outlineLevel="1" x14ac:dyDescent="0.25">
      <c r="A1373" s="2" t="s">
        <v>12</v>
      </c>
      <c r="B1373" s="2" t="s">
        <v>5451</v>
      </c>
      <c r="C1373" s="2"/>
      <c r="D1373" s="2"/>
      <c r="E1373" s="3">
        <v>41948</v>
      </c>
      <c r="F1373" s="2" t="s">
        <v>2451</v>
      </c>
      <c r="G1373" s="2"/>
      <c r="H1373" s="2" t="s">
        <v>2425</v>
      </c>
      <c r="I1373" s="2" t="s">
        <v>2444</v>
      </c>
      <c r="J1373" s="2"/>
      <c r="K1373" s="2" t="str">
        <f>HYPERLINK("https://docs.wto.org/imrd/directdoc.asp?DDFDocuments/t/G/SPS/NEU51A1.DOC")</f>
        <v>https://docs.wto.org/imrd/directdoc.asp?DDFDocuments/t/G/SPS/NEU51A1.DOC</v>
      </c>
      <c r="L1373" s="2" t="str">
        <f>HYPERLINK("https://docs.wto.org/imrd/directdoc.asp?DDFDocuments/u/G/SPS/NEU51A1.DOC")</f>
        <v>https://docs.wto.org/imrd/directdoc.asp?DDFDocuments/u/G/SPS/NEU51A1.DOC</v>
      </c>
      <c r="M1373" s="2" t="str">
        <f>HYPERLINK("https://docs.wto.org/imrd/directdoc.asp?DDFDocuments/v/G/SPS/NEU51A1.DOC")</f>
        <v>https://docs.wto.org/imrd/directdoc.asp?DDFDocuments/v/G/SPS/NEU51A1.DOC</v>
      </c>
      <c r="N1373" s="2" t="str">
        <f>HYPERLINK("http://www.epingalert.org/#/details/G/SPS/N/EU/51/Add.1")</f>
        <v>http://www.epingalert.org/#/details/G/SPS/N/EU/51/Add.1</v>
      </c>
      <c r="O1373" s="2"/>
    </row>
    <row r="1374" spans="1:15" ht="240" customHeight="1" outlineLevel="1" x14ac:dyDescent="0.25">
      <c r="A1374" s="2" t="s">
        <v>12</v>
      </c>
      <c r="B1374" s="2" t="s">
        <v>5452</v>
      </c>
      <c r="C1374" s="2"/>
      <c r="D1374" s="2"/>
      <c r="E1374" s="3">
        <v>41948</v>
      </c>
      <c r="F1374" s="2" t="s">
        <v>2451</v>
      </c>
      <c r="G1374" s="2" t="s">
        <v>5453</v>
      </c>
      <c r="H1374" s="2" t="s">
        <v>2425</v>
      </c>
      <c r="I1374" s="2" t="s">
        <v>2444</v>
      </c>
      <c r="J1374" s="2"/>
      <c r="K1374" s="2" t="str">
        <f>HYPERLINK("https://docs.wto.org/imrd/directdoc.asp?DDFDocuments/t/G/SPS/NEU69A1.DOC")</f>
        <v>https://docs.wto.org/imrd/directdoc.asp?DDFDocuments/t/G/SPS/NEU69A1.DOC</v>
      </c>
      <c r="L1374" s="2" t="str">
        <f>HYPERLINK("https://docs.wto.org/imrd/directdoc.asp?DDFDocuments/u/G/SPS/NEU69A1.DOC")</f>
        <v>https://docs.wto.org/imrd/directdoc.asp?DDFDocuments/u/G/SPS/NEU69A1.DOC</v>
      </c>
      <c r="M1374" s="2" t="str">
        <f>HYPERLINK("https://docs.wto.org/imrd/directdoc.asp?DDFDocuments/v/G/SPS/NEU69A1.DOC")</f>
        <v>https://docs.wto.org/imrd/directdoc.asp?DDFDocuments/v/G/SPS/NEU69A1.DOC</v>
      </c>
      <c r="N1374" s="2" t="str">
        <f>HYPERLINK("http://www.epingalert.org/#/details/G/SPS/N/EU/69/Add.1")</f>
        <v>http://www.epingalert.org/#/details/G/SPS/N/EU/69/Add.1</v>
      </c>
      <c r="O1374" s="2"/>
    </row>
    <row r="1375" spans="1:15" ht="240" customHeight="1" outlineLevel="1" x14ac:dyDescent="0.25">
      <c r="A1375" s="2" t="s">
        <v>12</v>
      </c>
      <c r="B1375" s="2" t="s">
        <v>5454</v>
      </c>
      <c r="C1375" s="2"/>
      <c r="D1375" s="2"/>
      <c r="E1375" s="3">
        <v>41948</v>
      </c>
      <c r="F1375" s="2" t="s">
        <v>5455</v>
      </c>
      <c r="G1375" s="2" t="s">
        <v>5456</v>
      </c>
      <c r="H1375" s="2" t="s">
        <v>2573</v>
      </c>
      <c r="I1375" s="2" t="s">
        <v>2491</v>
      </c>
      <c r="J1375" s="2"/>
      <c r="K1375" s="2" t="str">
        <f>HYPERLINK("https://docs.wto.org/imrd/directdoc.asp?DDFDocuments/t/G/SPS/NEU56A2.DOC")</f>
        <v>https://docs.wto.org/imrd/directdoc.asp?DDFDocuments/t/G/SPS/NEU56A2.DOC</v>
      </c>
      <c r="L1375" s="2" t="str">
        <f>HYPERLINK("https://docs.wto.org/imrd/directdoc.asp?DDFDocuments/u/G/SPS/NEU56A2.DOC")</f>
        <v>https://docs.wto.org/imrd/directdoc.asp?DDFDocuments/u/G/SPS/NEU56A2.DOC</v>
      </c>
      <c r="M1375" s="2" t="str">
        <f>HYPERLINK("https://docs.wto.org/imrd/directdoc.asp?DDFDocuments/v/G/SPS/NEU56A2.DOC")</f>
        <v>https://docs.wto.org/imrd/directdoc.asp?DDFDocuments/v/G/SPS/NEU56A2.DOC</v>
      </c>
      <c r="N1375" s="2" t="str">
        <f>HYPERLINK("http://www.epingalert.org/#/details/G/SPS/N/EU/56/Add.2")</f>
        <v>http://www.epingalert.org/#/details/G/SPS/N/EU/56/Add.2</v>
      </c>
      <c r="O1375" s="2"/>
    </row>
    <row r="1376" spans="1:15" ht="240" customHeight="1" outlineLevel="1" x14ac:dyDescent="0.25">
      <c r="A1376" s="2" t="s">
        <v>12</v>
      </c>
      <c r="B1376" s="2" t="s">
        <v>8104</v>
      </c>
      <c r="C1376" s="2" t="s">
        <v>8105</v>
      </c>
      <c r="D1376" s="2" t="s">
        <v>8106</v>
      </c>
      <c r="E1376" s="3">
        <v>41948</v>
      </c>
      <c r="F1376" s="2" t="s">
        <v>8107</v>
      </c>
      <c r="G1376" s="2" t="s">
        <v>2039</v>
      </c>
      <c r="H1376" s="2" t="s">
        <v>2425</v>
      </c>
      <c r="I1376" s="2" t="s">
        <v>4313</v>
      </c>
      <c r="J1376" s="2"/>
      <c r="K1376" s="2" t="str">
        <f>HYPERLINK("https://docs.wto.org/imrd/directdoc.asp?DDFDocuments/t/G/SPS/NEU113.DOC")</f>
        <v>https://docs.wto.org/imrd/directdoc.asp?DDFDocuments/t/G/SPS/NEU113.DOC</v>
      </c>
      <c r="L1376" s="2" t="str">
        <f>HYPERLINK("https://docs.wto.org/imrd/directdoc.asp?DDFDocuments/u/G/SPS/NEU113.DOC")</f>
        <v>https://docs.wto.org/imrd/directdoc.asp?DDFDocuments/u/G/SPS/NEU113.DOC</v>
      </c>
      <c r="M1376" s="2" t="str">
        <f>HYPERLINK("https://docs.wto.org/imrd/directdoc.asp?DDFDocuments/v/G/SPS/NEU113.DOC")</f>
        <v>https://docs.wto.org/imrd/directdoc.asp?DDFDocuments/v/G/SPS/NEU113.DOC</v>
      </c>
      <c r="N1376" s="2" t="str">
        <f>HYPERLINK("http://www.epingalert.org/#/details/G/SPS/N/EU/113")</f>
        <v>http://www.epingalert.org/#/details/G/SPS/N/EU/113</v>
      </c>
      <c r="O1376" s="2"/>
    </row>
    <row r="1377" spans="1:15" ht="240" customHeight="1" outlineLevel="1" x14ac:dyDescent="0.25">
      <c r="A1377" s="2" t="s">
        <v>12</v>
      </c>
      <c r="B1377" s="2" t="s">
        <v>5461</v>
      </c>
      <c r="C1377" s="2"/>
      <c r="D1377" s="2"/>
      <c r="E1377" s="3">
        <v>41947</v>
      </c>
      <c r="F1377" s="2" t="s">
        <v>3614</v>
      </c>
      <c r="G1377" s="2" t="s">
        <v>5462</v>
      </c>
      <c r="H1377" s="2" t="s">
        <v>2425</v>
      </c>
      <c r="I1377" s="2" t="s">
        <v>2444</v>
      </c>
      <c r="J1377" s="2"/>
      <c r="K1377" s="2" t="str">
        <f>HYPERLINK("https://docs.wto.org/imrd/directdoc.asp?DDFDocuments/t/G/SPS/NEU70A1.DOC")</f>
        <v>https://docs.wto.org/imrd/directdoc.asp?DDFDocuments/t/G/SPS/NEU70A1.DOC</v>
      </c>
      <c r="L1377" s="2" t="str">
        <f>HYPERLINK("https://docs.wto.org/imrd/directdoc.asp?DDFDocuments/u/G/SPS/NEU70A1.DOC")</f>
        <v>https://docs.wto.org/imrd/directdoc.asp?DDFDocuments/u/G/SPS/NEU70A1.DOC</v>
      </c>
      <c r="M1377" s="2" t="str">
        <f>HYPERLINK("https://docs.wto.org/imrd/directdoc.asp?DDFDocuments/v/G/SPS/NEU70A1.DOC")</f>
        <v>https://docs.wto.org/imrd/directdoc.asp?DDFDocuments/v/G/SPS/NEU70A1.DOC</v>
      </c>
      <c r="N1377" s="2" t="str">
        <f>HYPERLINK("http://www.epingalert.org/#/details/G/SPS/N/EU/70/Add.1")</f>
        <v>http://www.epingalert.org/#/details/G/SPS/N/EU/70/Add.1</v>
      </c>
      <c r="O1377" s="2"/>
    </row>
    <row r="1378" spans="1:15" ht="240" customHeight="1" outlineLevel="1" x14ac:dyDescent="0.25">
      <c r="A1378" s="2" t="s">
        <v>12</v>
      </c>
      <c r="B1378" s="2" t="s">
        <v>5463</v>
      </c>
      <c r="C1378" s="2" t="s">
        <v>5464</v>
      </c>
      <c r="D1378" s="2" t="s">
        <v>5465</v>
      </c>
      <c r="E1378" s="3">
        <v>41947</v>
      </c>
      <c r="F1378" s="2" t="s">
        <v>3614</v>
      </c>
      <c r="G1378" s="2" t="s">
        <v>5466</v>
      </c>
      <c r="H1378" s="2" t="s">
        <v>2425</v>
      </c>
      <c r="I1378" s="2" t="s">
        <v>2453</v>
      </c>
      <c r="J1378" s="2"/>
      <c r="K1378" s="2" t="str">
        <f>HYPERLINK("https://docs.wto.org/imrd/directdoc.asp?DDFDocuments/t/G/SPS/NEU112.DOC")</f>
        <v>https://docs.wto.org/imrd/directdoc.asp?DDFDocuments/t/G/SPS/NEU112.DOC</v>
      </c>
      <c r="L1378" s="2" t="str">
        <f>HYPERLINK("https://docs.wto.org/imrd/directdoc.asp?DDFDocuments/u/G/SPS/NEU112.DOC")</f>
        <v>https://docs.wto.org/imrd/directdoc.asp?DDFDocuments/u/G/SPS/NEU112.DOC</v>
      </c>
      <c r="M1378" s="2" t="str">
        <f>HYPERLINK("https://docs.wto.org/imrd/directdoc.asp?DDFDocuments/v/G/SPS/NEU112.DOC")</f>
        <v>https://docs.wto.org/imrd/directdoc.asp?DDFDocuments/v/G/SPS/NEU112.DOC</v>
      </c>
      <c r="N1378" s="2" t="str">
        <f>HYPERLINK("http://www.epingalert.org/#/details/G/SPS/N/EU/112")</f>
        <v>http://www.epingalert.org/#/details/G/SPS/N/EU/112</v>
      </c>
      <c r="O1378" s="2"/>
    </row>
    <row r="1379" spans="1:15" ht="240" customHeight="1" outlineLevel="1" x14ac:dyDescent="0.25">
      <c r="A1379" s="2" t="s">
        <v>121</v>
      </c>
      <c r="B1379" s="2" t="s">
        <v>8112</v>
      </c>
      <c r="C1379" s="2" t="s">
        <v>8113</v>
      </c>
      <c r="D1379" s="2" t="s">
        <v>8114</v>
      </c>
      <c r="E1379" s="3">
        <v>41946</v>
      </c>
      <c r="F1379" s="2" t="s">
        <v>8115</v>
      </c>
      <c r="G1379" s="2" t="s">
        <v>2292</v>
      </c>
      <c r="H1379" s="2" t="s">
        <v>2425</v>
      </c>
      <c r="I1379" s="2" t="s">
        <v>2426</v>
      </c>
      <c r="J1379" s="3">
        <v>42006</v>
      </c>
      <c r="K1379" s="2" t="str">
        <f>HYPERLINK("https://docs.wto.org/imrd/directdoc.asp?DDFDocuments/t/G/SPS/NIND92.DOC")</f>
        <v>https://docs.wto.org/imrd/directdoc.asp?DDFDocuments/t/G/SPS/NIND92.DOC</v>
      </c>
      <c r="L1379" s="2" t="str">
        <f>HYPERLINK("https://docs.wto.org/imrd/directdoc.asp?DDFDocuments/u/G/SPS/NIND92.DOC")</f>
        <v>https://docs.wto.org/imrd/directdoc.asp?DDFDocuments/u/G/SPS/NIND92.DOC</v>
      </c>
      <c r="M1379" s="2" t="str">
        <f>HYPERLINK("https://docs.wto.org/imrd/directdoc.asp?DDFDocuments/v/G/SPS/NIND92.DOC")</f>
        <v>https://docs.wto.org/imrd/directdoc.asp?DDFDocuments/v/G/SPS/NIND92.DOC</v>
      </c>
      <c r="N1379" s="2" t="str">
        <f>HYPERLINK("http://www.epingalert.org/#/details/G/SPS/N/IND/92")</f>
        <v>http://www.epingalert.org/#/details/G/SPS/N/IND/92</v>
      </c>
      <c r="O1379" s="2"/>
    </row>
    <row r="1380" spans="1:15" ht="240" customHeight="1" outlineLevel="1" x14ac:dyDescent="0.25">
      <c r="A1380" s="2" t="s">
        <v>12</v>
      </c>
      <c r="B1380" s="2" t="s">
        <v>8108</v>
      </c>
      <c r="C1380" s="2" t="s">
        <v>8109</v>
      </c>
      <c r="D1380" s="2" t="s">
        <v>8110</v>
      </c>
      <c r="E1380" s="3">
        <v>41946</v>
      </c>
      <c r="F1380" s="2" t="s">
        <v>8111</v>
      </c>
      <c r="G1380" s="2" t="s">
        <v>2399</v>
      </c>
      <c r="H1380" s="2" t="s">
        <v>2425</v>
      </c>
      <c r="I1380" s="2" t="s">
        <v>4313</v>
      </c>
      <c r="J1380" s="3">
        <v>42006</v>
      </c>
      <c r="K1380" s="2" t="str">
        <f>HYPERLINK("https://docs.wto.org/imrd/directdoc.asp?DDFDocuments/t/G/SPS/NEU111.DOC")</f>
        <v>https://docs.wto.org/imrd/directdoc.asp?DDFDocuments/t/G/SPS/NEU111.DOC</v>
      </c>
      <c r="L1380" s="2" t="str">
        <f>HYPERLINK("https://docs.wto.org/imrd/directdoc.asp?DDFDocuments/u/G/SPS/NEU111.DOC")</f>
        <v>https://docs.wto.org/imrd/directdoc.asp?DDFDocuments/u/G/SPS/NEU111.DOC</v>
      </c>
      <c r="M1380" s="2" t="str">
        <f>HYPERLINK("https://docs.wto.org/imrd/directdoc.asp?DDFDocuments/v/G/SPS/NEU111.DOC")</f>
        <v>https://docs.wto.org/imrd/directdoc.asp?DDFDocuments/v/G/SPS/NEU111.DOC</v>
      </c>
      <c r="N1380" s="2" t="str">
        <f>HYPERLINK("http://www.epingalert.org/#/details/G/SPS/N/EU/111")</f>
        <v>http://www.epingalert.org/#/details/G/SPS/N/EU/111</v>
      </c>
      <c r="O1380" s="2"/>
    </row>
    <row r="1381" spans="1:15" ht="240" customHeight="1" outlineLevel="1" x14ac:dyDescent="0.25">
      <c r="A1381" s="2" t="s">
        <v>18</v>
      </c>
      <c r="B1381" s="2" t="s">
        <v>6676</v>
      </c>
      <c r="C1381" s="2" t="s">
        <v>6677</v>
      </c>
      <c r="D1381" s="2" t="s">
        <v>6678</v>
      </c>
      <c r="E1381" s="3">
        <v>41946</v>
      </c>
      <c r="F1381" s="2" t="s">
        <v>6679</v>
      </c>
      <c r="G1381" s="2" t="s">
        <v>1646</v>
      </c>
      <c r="H1381" s="2" t="s">
        <v>2425</v>
      </c>
      <c r="I1381" s="2" t="s">
        <v>4406</v>
      </c>
      <c r="J1381" s="2"/>
      <c r="K1381" s="2" t="str">
        <f>HYPERLINK("https://docs.wto.org/imrd/directdoc.asp?DDFDocuments/t/G/SPS/NUSA2713.DOC")</f>
        <v>https://docs.wto.org/imrd/directdoc.asp?DDFDocuments/t/G/SPS/NUSA2713.DOC</v>
      </c>
      <c r="L1381" s="2" t="str">
        <f>HYPERLINK("https://docs.wto.org/imrd/directdoc.asp?DDFDocuments/u/G/SPS/NUSA2713.DOC")</f>
        <v>https://docs.wto.org/imrd/directdoc.asp?DDFDocuments/u/G/SPS/NUSA2713.DOC</v>
      </c>
      <c r="M1381" s="2" t="str">
        <f>HYPERLINK("https://docs.wto.org/imrd/directdoc.asp?DDFDocuments/v/G/SPS/NUSA2713.DOC")</f>
        <v>https://docs.wto.org/imrd/directdoc.asp?DDFDocuments/v/G/SPS/NUSA2713.DOC</v>
      </c>
      <c r="N1381" s="2" t="str">
        <f>HYPERLINK("http://www.epingalert.org/#/details/G/SPS/N/USA/2713")</f>
        <v>http://www.epingalert.org/#/details/G/SPS/N/USA/2713</v>
      </c>
      <c r="O1381" s="2"/>
    </row>
    <row r="1382" spans="1:15" ht="240" customHeight="1" outlineLevel="1" x14ac:dyDescent="0.25">
      <c r="A1382" s="2" t="s">
        <v>211</v>
      </c>
      <c r="B1382" s="2" t="s">
        <v>5467</v>
      </c>
      <c r="C1382" s="2" t="s">
        <v>5468</v>
      </c>
      <c r="D1382" s="2" t="s">
        <v>5469</v>
      </c>
      <c r="E1382" s="3">
        <v>41943</v>
      </c>
      <c r="F1382" s="2" t="s">
        <v>5470</v>
      </c>
      <c r="G1382" s="2"/>
      <c r="H1382" s="2" t="s">
        <v>2425</v>
      </c>
      <c r="I1382" s="2" t="s">
        <v>2453</v>
      </c>
      <c r="J1382" s="3">
        <v>42003</v>
      </c>
      <c r="K1382" s="2" t="str">
        <f>HYPERLINK("https://docs.wto.org/imrd/directdoc.asp?DDFDocuments/t/G/SPS/NNZL509.DOC")</f>
        <v>https://docs.wto.org/imrd/directdoc.asp?DDFDocuments/t/G/SPS/NNZL509.DOC</v>
      </c>
      <c r="L1382" s="2" t="str">
        <f>HYPERLINK("https://docs.wto.org/imrd/directdoc.asp?DDFDocuments/u/G/SPS/NNZL509.DOC")</f>
        <v>https://docs.wto.org/imrd/directdoc.asp?DDFDocuments/u/G/SPS/NNZL509.DOC</v>
      </c>
      <c r="M1382" s="2" t="str">
        <f>HYPERLINK("https://docs.wto.org/imrd/directdoc.asp?DDFDocuments/v/G/SPS/NNZL509.DOC")</f>
        <v>https://docs.wto.org/imrd/directdoc.asp?DDFDocuments/v/G/SPS/NNZL509.DOC</v>
      </c>
      <c r="N1382" s="2" t="str">
        <f>HYPERLINK("http://www.epingalert.org/#/details/G/SPS/N/NZL/509")</f>
        <v>http://www.epingalert.org/#/details/G/SPS/N/NZL/509</v>
      </c>
      <c r="O1382" s="2"/>
    </row>
    <row r="1383" spans="1:15" ht="240" customHeight="1" outlineLevel="1" x14ac:dyDescent="0.25">
      <c r="A1383" s="2" t="s">
        <v>225</v>
      </c>
      <c r="B1383" s="2" t="s">
        <v>5475</v>
      </c>
      <c r="C1383" s="2" t="s">
        <v>5476</v>
      </c>
      <c r="D1383" s="2" t="s">
        <v>2494</v>
      </c>
      <c r="E1383" s="3">
        <v>41941</v>
      </c>
      <c r="F1383" s="2" t="s">
        <v>2430</v>
      </c>
      <c r="G1383" s="2"/>
      <c r="H1383" s="2" t="s">
        <v>2425</v>
      </c>
      <c r="I1383" s="2" t="s">
        <v>4254</v>
      </c>
      <c r="J1383" s="3">
        <v>42013</v>
      </c>
      <c r="K1383" s="2" t="str">
        <f>HYPERLINK("https://docs.wto.org/imrd/directdoc.asp?DDFDocuments/t/G/SPS/NAUS349.DOC")</f>
        <v>https://docs.wto.org/imrd/directdoc.asp?DDFDocuments/t/G/SPS/NAUS349.DOC</v>
      </c>
      <c r="L1383" s="2" t="str">
        <f>HYPERLINK("https://docs.wto.org/imrd/directdoc.asp?DDFDocuments/u/G/SPS/NAUS349.DOC")</f>
        <v>https://docs.wto.org/imrd/directdoc.asp?DDFDocuments/u/G/SPS/NAUS349.DOC</v>
      </c>
      <c r="M1383" s="2" t="str">
        <f>HYPERLINK("https://docs.wto.org/imrd/directdoc.asp?DDFDocuments/v/G/SPS/NAUS349.DOC")</f>
        <v>https://docs.wto.org/imrd/directdoc.asp?DDFDocuments/v/G/SPS/NAUS349.DOC</v>
      </c>
      <c r="N1383" s="2" t="str">
        <f>HYPERLINK("http://www.epingalert.org/#/details/G/SPS/N/AUS/349")</f>
        <v>http://www.epingalert.org/#/details/G/SPS/N/AUS/349</v>
      </c>
      <c r="O1383" s="2"/>
    </row>
    <row r="1384" spans="1:15" ht="240" customHeight="1" outlineLevel="1" x14ac:dyDescent="0.25">
      <c r="A1384" s="2" t="s">
        <v>225</v>
      </c>
      <c r="B1384" s="2" t="s">
        <v>5477</v>
      </c>
      <c r="C1384" s="2" t="s">
        <v>5478</v>
      </c>
      <c r="D1384" s="2" t="s">
        <v>5479</v>
      </c>
      <c r="E1384" s="3">
        <v>41941</v>
      </c>
      <c r="F1384" s="2" t="s">
        <v>5480</v>
      </c>
      <c r="G1384" s="2"/>
      <c r="H1384" s="2" t="s">
        <v>2425</v>
      </c>
      <c r="I1384" s="2" t="s">
        <v>2431</v>
      </c>
      <c r="J1384" s="3">
        <v>42013</v>
      </c>
      <c r="K1384" s="2" t="str">
        <f>HYPERLINK("https://docs.wto.org/imrd/directdoc.asp?DDFDocuments/t/G/SPS/NAUS348.DOC")</f>
        <v>https://docs.wto.org/imrd/directdoc.asp?DDFDocuments/t/G/SPS/NAUS348.DOC</v>
      </c>
      <c r="L1384" s="2" t="str">
        <f>HYPERLINK("https://docs.wto.org/imrd/directdoc.asp?DDFDocuments/u/G/SPS/NAUS348.DOC")</f>
        <v>https://docs.wto.org/imrd/directdoc.asp?DDFDocuments/u/G/SPS/NAUS348.DOC</v>
      </c>
      <c r="M1384" s="2" t="str">
        <f>HYPERLINK("https://docs.wto.org/imrd/directdoc.asp?DDFDocuments/v/G/SPS/NAUS348.DOC")</f>
        <v>https://docs.wto.org/imrd/directdoc.asp?DDFDocuments/v/G/SPS/NAUS348.DOC</v>
      </c>
      <c r="N1384" s="2" t="str">
        <f>HYPERLINK("http://www.epingalert.org/#/details/G/SPS/N/AUS/348")</f>
        <v>http://www.epingalert.org/#/details/G/SPS/N/AUS/348</v>
      </c>
      <c r="O1384" s="2"/>
    </row>
    <row r="1385" spans="1:15" ht="240" customHeight="1" outlineLevel="1" x14ac:dyDescent="0.25">
      <c r="A1385" s="2" t="s">
        <v>12</v>
      </c>
      <c r="B1385" s="2" t="s">
        <v>5471</v>
      </c>
      <c r="C1385" s="2" t="s">
        <v>5472</v>
      </c>
      <c r="D1385" s="2" t="s">
        <v>5473</v>
      </c>
      <c r="E1385" s="3">
        <v>41941</v>
      </c>
      <c r="F1385" s="2" t="s">
        <v>3614</v>
      </c>
      <c r="G1385" s="2" t="s">
        <v>5474</v>
      </c>
      <c r="H1385" s="2" t="s">
        <v>2425</v>
      </c>
      <c r="I1385" s="2" t="s">
        <v>2453</v>
      </c>
      <c r="J1385" s="3">
        <v>42001</v>
      </c>
      <c r="K1385" s="2" t="str">
        <f>HYPERLINK("https://docs.wto.org/imrd/directdoc.asp?DDFDocuments/t/G/SPS/NEU106.DOC")</f>
        <v>https://docs.wto.org/imrd/directdoc.asp?DDFDocuments/t/G/SPS/NEU106.DOC</v>
      </c>
      <c r="L1385" s="2" t="str">
        <f>HYPERLINK("https://docs.wto.org/imrd/directdoc.asp?DDFDocuments/u/G/SPS/NEU106.DOC")</f>
        <v>https://docs.wto.org/imrd/directdoc.asp?DDFDocuments/u/G/SPS/NEU106.DOC</v>
      </c>
      <c r="M1385" s="2" t="str">
        <f>HYPERLINK("https://docs.wto.org/imrd/directdoc.asp?DDFDocuments/v/G/SPS/NEU106.DOC")</f>
        <v>https://docs.wto.org/imrd/directdoc.asp?DDFDocuments/v/G/SPS/NEU106.DOC</v>
      </c>
      <c r="N1385" s="2" t="str">
        <f>HYPERLINK("http://www.epingalert.org/#/details/G/SPS/N/EU/106")</f>
        <v>http://www.epingalert.org/#/details/G/SPS/N/EU/106</v>
      </c>
      <c r="O1385" s="2"/>
    </row>
    <row r="1386" spans="1:15" ht="240" customHeight="1" outlineLevel="1" x14ac:dyDescent="0.25">
      <c r="A1386" s="2" t="s">
        <v>12</v>
      </c>
      <c r="B1386" s="2" t="s">
        <v>8116</v>
      </c>
      <c r="C1386" s="2" t="s">
        <v>8117</v>
      </c>
      <c r="D1386" s="2" t="s">
        <v>8118</v>
      </c>
      <c r="E1386" s="3">
        <v>41941</v>
      </c>
      <c r="F1386" s="2" t="s">
        <v>8119</v>
      </c>
      <c r="G1386" s="2" t="s">
        <v>2399</v>
      </c>
      <c r="H1386" s="2" t="s">
        <v>2425</v>
      </c>
      <c r="I1386" s="2" t="s">
        <v>4313</v>
      </c>
      <c r="J1386" s="2"/>
      <c r="K1386" s="2" t="str">
        <f>HYPERLINK("https://docs.wto.org/imrd/directdoc.asp?DDFDocuments/t/G/SPS/NEU110.DOC")</f>
        <v>https://docs.wto.org/imrd/directdoc.asp?DDFDocuments/t/G/SPS/NEU110.DOC</v>
      </c>
      <c r="L1386" s="2" t="str">
        <f>HYPERLINK("https://docs.wto.org/imrd/directdoc.asp?DDFDocuments/u/G/SPS/NEU110.DOC")</f>
        <v>https://docs.wto.org/imrd/directdoc.asp?DDFDocuments/u/G/SPS/NEU110.DOC</v>
      </c>
      <c r="M1386" s="2" t="str">
        <f>HYPERLINK("https://docs.wto.org/imrd/directdoc.asp?DDFDocuments/v/G/SPS/NEU110.DOC")</f>
        <v>https://docs.wto.org/imrd/directdoc.asp?DDFDocuments/v/G/SPS/NEU110.DOC</v>
      </c>
      <c r="N1386" s="2" t="str">
        <f>HYPERLINK("http://www.epingalert.org/#/details/G/SPS/N/EU/110")</f>
        <v>http://www.epingalert.org/#/details/G/SPS/N/EU/110</v>
      </c>
      <c r="O1386" s="2"/>
    </row>
    <row r="1387" spans="1:15" ht="240" customHeight="1" outlineLevel="1" x14ac:dyDescent="0.25">
      <c r="A1387" s="2" t="s">
        <v>12</v>
      </c>
      <c r="B1387" s="2" t="s">
        <v>8120</v>
      </c>
      <c r="C1387" s="2" t="s">
        <v>8121</v>
      </c>
      <c r="D1387" s="2" t="s">
        <v>8122</v>
      </c>
      <c r="E1387" s="3">
        <v>41941</v>
      </c>
      <c r="F1387" s="2" t="s">
        <v>8123</v>
      </c>
      <c r="G1387" s="2" t="s">
        <v>2399</v>
      </c>
      <c r="H1387" s="2" t="s">
        <v>2425</v>
      </c>
      <c r="I1387" s="2" t="s">
        <v>4313</v>
      </c>
      <c r="J1387" s="2"/>
      <c r="K1387" s="2" t="str">
        <f>HYPERLINK("https://docs.wto.org/imrd/directdoc.asp?DDFDocuments/t/G/SPS/NEU109.DOC")</f>
        <v>https://docs.wto.org/imrd/directdoc.asp?DDFDocuments/t/G/SPS/NEU109.DOC</v>
      </c>
      <c r="L1387" s="2" t="str">
        <f>HYPERLINK("https://docs.wto.org/imrd/directdoc.asp?DDFDocuments/u/G/SPS/NEU109.DOC")</f>
        <v>https://docs.wto.org/imrd/directdoc.asp?DDFDocuments/u/G/SPS/NEU109.DOC</v>
      </c>
      <c r="M1387" s="2" t="str">
        <f>HYPERLINK("https://docs.wto.org/imrd/directdoc.asp?DDFDocuments/v/G/SPS/NEU109.DOC")</f>
        <v>https://docs.wto.org/imrd/directdoc.asp?DDFDocuments/v/G/SPS/NEU109.DOC</v>
      </c>
      <c r="N1387" s="2" t="str">
        <f>HYPERLINK("http://www.epingalert.org/#/details/G/SPS/N/EU/109")</f>
        <v>http://www.epingalert.org/#/details/G/SPS/N/EU/109</v>
      </c>
      <c r="O1387" s="2"/>
    </row>
    <row r="1388" spans="1:15" ht="240" customHeight="1" outlineLevel="1" x14ac:dyDescent="0.25">
      <c r="A1388" s="2" t="s">
        <v>12</v>
      </c>
      <c r="B1388" s="2" t="s">
        <v>8124</v>
      </c>
      <c r="C1388" s="2" t="s">
        <v>8125</v>
      </c>
      <c r="D1388" s="2" t="s">
        <v>8126</v>
      </c>
      <c r="E1388" s="3">
        <v>41941</v>
      </c>
      <c r="F1388" s="2" t="s">
        <v>8119</v>
      </c>
      <c r="G1388" s="2" t="s">
        <v>2399</v>
      </c>
      <c r="H1388" s="2" t="s">
        <v>2425</v>
      </c>
      <c r="I1388" s="2" t="s">
        <v>4313</v>
      </c>
      <c r="J1388" s="2"/>
      <c r="K1388" s="2" t="str">
        <f>HYPERLINK("https://docs.wto.org/imrd/directdoc.asp?DDFDocuments/t/G/SPS/NEU107.DOC")</f>
        <v>https://docs.wto.org/imrd/directdoc.asp?DDFDocuments/t/G/SPS/NEU107.DOC</v>
      </c>
      <c r="L1388" s="2" t="str">
        <f>HYPERLINK("https://docs.wto.org/imrd/directdoc.asp?DDFDocuments/u/G/SPS/NEU107.DOC")</f>
        <v>https://docs.wto.org/imrd/directdoc.asp?DDFDocuments/u/G/SPS/NEU107.DOC</v>
      </c>
      <c r="M1388" s="2" t="str">
        <f>HYPERLINK("https://docs.wto.org/imrd/directdoc.asp?DDFDocuments/v/G/SPS/NEU107.DOC")</f>
        <v>https://docs.wto.org/imrd/directdoc.asp?DDFDocuments/v/G/SPS/NEU107.DOC</v>
      </c>
      <c r="N1388" s="2" t="str">
        <f>HYPERLINK("http://www.epingalert.org/#/details/G/SPS/N/EU/107")</f>
        <v>http://www.epingalert.org/#/details/G/SPS/N/EU/107</v>
      </c>
      <c r="O1388" s="2"/>
    </row>
    <row r="1389" spans="1:15" ht="240" customHeight="1" outlineLevel="1" x14ac:dyDescent="0.25">
      <c r="A1389" s="2" t="s">
        <v>115</v>
      </c>
      <c r="B1389" s="2" t="s">
        <v>8141</v>
      </c>
      <c r="C1389" s="2" t="s">
        <v>7976</v>
      </c>
      <c r="D1389" s="2" t="s">
        <v>8142</v>
      </c>
      <c r="E1389" s="3">
        <v>41939</v>
      </c>
      <c r="F1389" s="2" t="s">
        <v>8143</v>
      </c>
      <c r="G1389" s="2" t="s">
        <v>8144</v>
      </c>
      <c r="H1389" s="2" t="s">
        <v>2425</v>
      </c>
      <c r="I1389" s="2" t="s">
        <v>2453</v>
      </c>
      <c r="J1389" s="3">
        <v>41999</v>
      </c>
      <c r="K1389" s="2" t="str">
        <f>HYPERLINK("https://docs.wto.org/imrd/directdoc.asp?DDFDocuments/t/G/SPS/NJPN376.DOC")</f>
        <v>https://docs.wto.org/imrd/directdoc.asp?DDFDocuments/t/G/SPS/NJPN376.DOC</v>
      </c>
      <c r="L1389" s="2" t="str">
        <f>HYPERLINK("https://docs.wto.org/imrd/directdoc.asp?DDFDocuments/u/G/SPS/NJPN376.DOC")</f>
        <v>https://docs.wto.org/imrd/directdoc.asp?DDFDocuments/u/G/SPS/NJPN376.DOC</v>
      </c>
      <c r="M1389" s="2" t="str">
        <f>HYPERLINK("https://docs.wto.org/imrd/directdoc.asp?DDFDocuments/v/G/SPS/NJPN376.DOC")</f>
        <v>https://docs.wto.org/imrd/directdoc.asp?DDFDocuments/v/G/SPS/NJPN376.DOC</v>
      </c>
      <c r="N1389" s="2" t="str">
        <f>HYPERLINK("http://www.epingalert.org/#/details/G/SPS/N/JPN/376")</f>
        <v>http://www.epingalert.org/#/details/G/SPS/N/JPN/376</v>
      </c>
      <c r="O1389" s="2"/>
    </row>
    <row r="1390" spans="1:15" ht="240" customHeight="1" outlineLevel="1" x14ac:dyDescent="0.25">
      <c r="A1390" s="2" t="s">
        <v>115</v>
      </c>
      <c r="B1390" s="2" t="s">
        <v>8145</v>
      </c>
      <c r="C1390" s="2" t="s">
        <v>7598</v>
      </c>
      <c r="D1390" s="2" t="s">
        <v>8146</v>
      </c>
      <c r="E1390" s="3">
        <v>41939</v>
      </c>
      <c r="F1390" s="2" t="s">
        <v>8147</v>
      </c>
      <c r="G1390" s="2" t="s">
        <v>8148</v>
      </c>
      <c r="H1390" s="2" t="s">
        <v>2425</v>
      </c>
      <c r="I1390" s="2" t="s">
        <v>2453</v>
      </c>
      <c r="J1390" s="3">
        <v>41999</v>
      </c>
      <c r="K1390" s="2" t="str">
        <f>HYPERLINK("https://docs.wto.org/imrd/directdoc.asp?DDFDocuments/t/G/SPS/NJPN375.DOC")</f>
        <v>https://docs.wto.org/imrd/directdoc.asp?DDFDocuments/t/G/SPS/NJPN375.DOC</v>
      </c>
      <c r="L1390" s="2" t="str">
        <f>HYPERLINK("https://docs.wto.org/imrd/directdoc.asp?DDFDocuments/u/G/SPS/NJPN375.DOC")</f>
        <v>https://docs.wto.org/imrd/directdoc.asp?DDFDocuments/u/G/SPS/NJPN375.DOC</v>
      </c>
      <c r="M1390" s="2" t="str">
        <f>HYPERLINK("https://docs.wto.org/imrd/directdoc.asp?DDFDocuments/v/G/SPS/NJPN375.DOC")</f>
        <v>https://docs.wto.org/imrd/directdoc.asp?DDFDocuments/v/G/SPS/NJPN375.DOC</v>
      </c>
      <c r="N1390" s="2" t="str">
        <f>HYPERLINK("http://www.epingalert.org/#/details/G/SPS/N/JPN/375")</f>
        <v>http://www.epingalert.org/#/details/G/SPS/N/JPN/375</v>
      </c>
      <c r="O1390" s="2"/>
    </row>
    <row r="1391" spans="1:15" ht="240" customHeight="1" outlineLevel="1" x14ac:dyDescent="0.25">
      <c r="A1391" s="2" t="s">
        <v>115</v>
      </c>
      <c r="B1391" s="2" t="s">
        <v>8149</v>
      </c>
      <c r="C1391" s="2" t="s">
        <v>7976</v>
      </c>
      <c r="D1391" s="2" t="s">
        <v>8150</v>
      </c>
      <c r="E1391" s="3">
        <v>41939</v>
      </c>
      <c r="F1391" s="2" t="s">
        <v>8151</v>
      </c>
      <c r="G1391" s="2" t="s">
        <v>8152</v>
      </c>
      <c r="H1391" s="2" t="s">
        <v>2425</v>
      </c>
      <c r="I1391" s="2" t="s">
        <v>2453</v>
      </c>
      <c r="J1391" s="3">
        <v>41999</v>
      </c>
      <c r="K1391" s="2" t="str">
        <f>HYPERLINK("https://docs.wto.org/imrd/directdoc.asp?DDFDocuments/t/G/SPS/NJPN374.DOC")</f>
        <v>https://docs.wto.org/imrd/directdoc.asp?DDFDocuments/t/G/SPS/NJPN374.DOC</v>
      </c>
      <c r="L1391" s="2" t="str">
        <f>HYPERLINK("https://docs.wto.org/imrd/directdoc.asp?DDFDocuments/u/G/SPS/NJPN374.DOC")</f>
        <v>https://docs.wto.org/imrd/directdoc.asp?DDFDocuments/u/G/SPS/NJPN374.DOC</v>
      </c>
      <c r="M1391" s="2" t="str">
        <f>HYPERLINK("https://docs.wto.org/imrd/directdoc.asp?DDFDocuments/v/G/SPS/NJPN374.DOC")</f>
        <v>https://docs.wto.org/imrd/directdoc.asp?DDFDocuments/v/G/SPS/NJPN374.DOC</v>
      </c>
      <c r="N1391" s="2" t="str">
        <f>HYPERLINK("http://www.epingalert.org/#/details/G/SPS/N/JPN/374")</f>
        <v>http://www.epingalert.org/#/details/G/SPS/N/JPN/374</v>
      </c>
      <c r="O1391" s="2"/>
    </row>
    <row r="1392" spans="1:15" ht="240" customHeight="1" outlineLevel="1" x14ac:dyDescent="0.25">
      <c r="A1392" s="2" t="s">
        <v>115</v>
      </c>
      <c r="B1392" s="2" t="s">
        <v>8153</v>
      </c>
      <c r="C1392" s="2" t="s">
        <v>7598</v>
      </c>
      <c r="D1392" s="2" t="s">
        <v>8154</v>
      </c>
      <c r="E1392" s="3">
        <v>41939</v>
      </c>
      <c r="F1392" s="2" t="s">
        <v>8147</v>
      </c>
      <c r="G1392" s="2" t="s">
        <v>8155</v>
      </c>
      <c r="H1392" s="2" t="s">
        <v>2425</v>
      </c>
      <c r="I1392" s="2" t="s">
        <v>2453</v>
      </c>
      <c r="J1392" s="3">
        <v>41999</v>
      </c>
      <c r="K1392" s="2" t="str">
        <f>HYPERLINK("https://docs.wto.org/imrd/directdoc.asp?DDFDocuments/t/G/SPS/NJPN373.DOC")</f>
        <v>https://docs.wto.org/imrd/directdoc.asp?DDFDocuments/t/G/SPS/NJPN373.DOC</v>
      </c>
      <c r="L1392" s="2" t="str">
        <f>HYPERLINK("https://docs.wto.org/imrd/directdoc.asp?DDFDocuments/u/G/SPS/NJPN373.DOC")</f>
        <v>https://docs.wto.org/imrd/directdoc.asp?DDFDocuments/u/G/SPS/NJPN373.DOC</v>
      </c>
      <c r="M1392" s="2" t="str">
        <f>HYPERLINK("https://docs.wto.org/imrd/directdoc.asp?DDFDocuments/v/G/SPS/NJPN373.DOC")</f>
        <v>https://docs.wto.org/imrd/directdoc.asp?DDFDocuments/v/G/SPS/NJPN373.DOC</v>
      </c>
      <c r="N1392" s="2" t="str">
        <f>HYPERLINK("http://www.epingalert.org/#/details/G/SPS/N/JPN/373")</f>
        <v>http://www.epingalert.org/#/details/G/SPS/N/JPN/373</v>
      </c>
      <c r="O1392" s="2"/>
    </row>
    <row r="1393" spans="1:15" ht="240" customHeight="1" outlineLevel="1" x14ac:dyDescent="0.25">
      <c r="A1393" s="2" t="s">
        <v>12</v>
      </c>
      <c r="B1393" s="2" t="s">
        <v>5481</v>
      </c>
      <c r="C1393" s="2" t="s">
        <v>5482</v>
      </c>
      <c r="D1393" s="2" t="s">
        <v>5483</v>
      </c>
      <c r="E1393" s="3">
        <v>41939</v>
      </c>
      <c r="F1393" s="2" t="s">
        <v>3223</v>
      </c>
      <c r="G1393" s="2"/>
      <c r="H1393" s="2" t="s">
        <v>2425</v>
      </c>
      <c r="I1393" s="2" t="s">
        <v>2426</v>
      </c>
      <c r="J1393" s="2"/>
      <c r="K1393" s="2" t="str">
        <f>HYPERLINK("https://docs.wto.org/imrd/directdoc.asp?DDFDocuments/t/G/SPS/NEU104.DOC")</f>
        <v>https://docs.wto.org/imrd/directdoc.asp?DDFDocuments/t/G/SPS/NEU104.DOC</v>
      </c>
      <c r="L1393" s="2" t="str">
        <f>HYPERLINK("https://docs.wto.org/imrd/directdoc.asp?DDFDocuments/u/G/SPS/NEU104.DOC")</f>
        <v>https://docs.wto.org/imrd/directdoc.asp?DDFDocuments/u/G/SPS/NEU104.DOC</v>
      </c>
      <c r="M1393" s="2" t="str">
        <f>HYPERLINK("https://docs.wto.org/imrd/directdoc.asp?DDFDocuments/v/G/SPS/NEU104.DOC")</f>
        <v>https://docs.wto.org/imrd/directdoc.asp?DDFDocuments/v/G/SPS/NEU104.DOC</v>
      </c>
      <c r="N1393" s="2" t="str">
        <f>HYPERLINK("http://www.epingalert.org/#/details/G/SPS/N/EU/104")</f>
        <v>http://www.epingalert.org/#/details/G/SPS/N/EU/104</v>
      </c>
      <c r="O1393" s="2"/>
    </row>
    <row r="1394" spans="1:15" ht="240" customHeight="1" outlineLevel="1" x14ac:dyDescent="0.25">
      <c r="A1394" s="2" t="s">
        <v>12</v>
      </c>
      <c r="B1394" s="2" t="s">
        <v>8127</v>
      </c>
      <c r="C1394" s="2" t="s">
        <v>8128</v>
      </c>
      <c r="D1394" s="2" t="s">
        <v>8129</v>
      </c>
      <c r="E1394" s="3">
        <v>41939</v>
      </c>
      <c r="F1394" s="2" t="s">
        <v>8119</v>
      </c>
      <c r="G1394" s="2" t="s">
        <v>2399</v>
      </c>
      <c r="H1394" s="2" t="s">
        <v>2425</v>
      </c>
      <c r="I1394" s="2" t="s">
        <v>4313</v>
      </c>
      <c r="J1394" s="2"/>
      <c r="K1394" s="2" t="str">
        <f>HYPERLINK("https://docs.wto.org/imrd/directdoc.asp?DDFDocuments/t/G/SPS/NEU105.DOC")</f>
        <v>https://docs.wto.org/imrd/directdoc.asp?DDFDocuments/t/G/SPS/NEU105.DOC</v>
      </c>
      <c r="L1394" s="2" t="str">
        <f>HYPERLINK("https://docs.wto.org/imrd/directdoc.asp?DDFDocuments/u/G/SPS/NEU105.DOC")</f>
        <v>https://docs.wto.org/imrd/directdoc.asp?DDFDocuments/u/G/SPS/NEU105.DOC</v>
      </c>
      <c r="M1394" s="2" t="str">
        <f>HYPERLINK("https://docs.wto.org/imrd/directdoc.asp?DDFDocuments/v/G/SPS/NEU105.DOC")</f>
        <v>https://docs.wto.org/imrd/directdoc.asp?DDFDocuments/v/G/SPS/NEU105.DOC</v>
      </c>
      <c r="N1394" s="2" t="str">
        <f>HYPERLINK("http://www.epingalert.org/#/details/G/SPS/N/EU/105")</f>
        <v>http://www.epingalert.org/#/details/G/SPS/N/EU/105</v>
      </c>
      <c r="O1394" s="2"/>
    </row>
    <row r="1395" spans="1:15" ht="240" customHeight="1" outlineLevel="1" x14ac:dyDescent="0.25">
      <c r="A1395" s="2" t="s">
        <v>12</v>
      </c>
      <c r="B1395" s="2" t="s">
        <v>8130</v>
      </c>
      <c r="C1395" s="2" t="s">
        <v>8131</v>
      </c>
      <c r="D1395" s="2" t="s">
        <v>8132</v>
      </c>
      <c r="E1395" s="3">
        <v>41939</v>
      </c>
      <c r="F1395" s="2" t="s">
        <v>8133</v>
      </c>
      <c r="G1395" s="2" t="s">
        <v>2399</v>
      </c>
      <c r="H1395" s="2" t="s">
        <v>2425</v>
      </c>
      <c r="I1395" s="2" t="s">
        <v>4313</v>
      </c>
      <c r="J1395" s="2"/>
      <c r="K1395" s="2" t="str">
        <f>HYPERLINK("https://docs.wto.org/imrd/directdoc.asp?DDFDocuments/t/G/SPS/NEU103.DOC")</f>
        <v>https://docs.wto.org/imrd/directdoc.asp?DDFDocuments/t/G/SPS/NEU103.DOC</v>
      </c>
      <c r="L1395" s="2" t="str">
        <f>HYPERLINK("https://docs.wto.org/imrd/directdoc.asp?DDFDocuments/u/G/SPS/NEU103.DOC")</f>
        <v>https://docs.wto.org/imrd/directdoc.asp?DDFDocuments/u/G/SPS/NEU103.DOC</v>
      </c>
      <c r="M1395" s="2" t="str">
        <f>HYPERLINK("https://docs.wto.org/imrd/directdoc.asp?DDFDocuments/v/G/SPS/NEU103.DOC")</f>
        <v>https://docs.wto.org/imrd/directdoc.asp?DDFDocuments/v/G/SPS/NEU103.DOC</v>
      </c>
      <c r="N1395" s="2" t="str">
        <f>HYPERLINK("http://www.epingalert.org/#/details/G/SPS/N/EU/103")</f>
        <v>http://www.epingalert.org/#/details/G/SPS/N/EU/103</v>
      </c>
      <c r="O1395" s="2"/>
    </row>
    <row r="1396" spans="1:15" ht="240" customHeight="1" outlineLevel="1" x14ac:dyDescent="0.25">
      <c r="A1396" s="2" t="s">
        <v>12</v>
      </c>
      <c r="B1396" s="2" t="s">
        <v>8134</v>
      </c>
      <c r="C1396" s="2" t="s">
        <v>8135</v>
      </c>
      <c r="D1396" s="2" t="s">
        <v>8136</v>
      </c>
      <c r="E1396" s="3">
        <v>41939</v>
      </c>
      <c r="F1396" s="2" t="s">
        <v>8119</v>
      </c>
      <c r="G1396" s="2" t="s">
        <v>2399</v>
      </c>
      <c r="H1396" s="2" t="s">
        <v>2425</v>
      </c>
      <c r="I1396" s="2" t="s">
        <v>4313</v>
      </c>
      <c r="J1396" s="2"/>
      <c r="K1396" s="2" t="str">
        <f>HYPERLINK("https://docs.wto.org/imrd/directdoc.asp?DDFDocuments/t/G/SPS/NEU102.DOC")</f>
        <v>https://docs.wto.org/imrd/directdoc.asp?DDFDocuments/t/G/SPS/NEU102.DOC</v>
      </c>
      <c r="L1396" s="2" t="str">
        <f>HYPERLINK("https://docs.wto.org/imrd/directdoc.asp?DDFDocuments/u/G/SPS/NEU102.DOC")</f>
        <v>https://docs.wto.org/imrd/directdoc.asp?DDFDocuments/u/G/SPS/NEU102.DOC</v>
      </c>
      <c r="M1396" s="2" t="str">
        <f>HYPERLINK("https://docs.wto.org/imrd/directdoc.asp?DDFDocuments/v/G/SPS/NEU102.DOC")</f>
        <v>https://docs.wto.org/imrd/directdoc.asp?DDFDocuments/v/G/SPS/NEU102.DOC</v>
      </c>
      <c r="N1396" s="2" t="str">
        <f>HYPERLINK("http://www.epingalert.org/#/details/G/SPS/N/EU/102")</f>
        <v>http://www.epingalert.org/#/details/G/SPS/N/EU/102</v>
      </c>
      <c r="O1396" s="2"/>
    </row>
    <row r="1397" spans="1:15" ht="240" customHeight="1" outlineLevel="1" x14ac:dyDescent="0.25">
      <c r="A1397" s="2" t="s">
        <v>12</v>
      </c>
      <c r="B1397" s="2" t="s">
        <v>8137</v>
      </c>
      <c r="C1397" s="2" t="s">
        <v>8138</v>
      </c>
      <c r="D1397" s="2" t="s">
        <v>8139</v>
      </c>
      <c r="E1397" s="3">
        <v>41939</v>
      </c>
      <c r="F1397" s="2" t="s">
        <v>8123</v>
      </c>
      <c r="G1397" s="2" t="s">
        <v>2399</v>
      </c>
      <c r="H1397" s="2" t="s">
        <v>2425</v>
      </c>
      <c r="I1397" s="2" t="s">
        <v>8140</v>
      </c>
      <c r="J1397" s="2"/>
      <c r="K1397" s="2" t="str">
        <f>HYPERLINK("https://docs.wto.org/imrd/directdoc.asp?DDFDocuments/t/G/SPS/NEU101.DOC")</f>
        <v>https://docs.wto.org/imrd/directdoc.asp?DDFDocuments/t/G/SPS/NEU101.DOC</v>
      </c>
      <c r="L1397" s="2" t="str">
        <f>HYPERLINK("https://docs.wto.org/imrd/directdoc.asp?DDFDocuments/u/G/SPS/NEU101.DOC")</f>
        <v>https://docs.wto.org/imrd/directdoc.asp?DDFDocuments/u/G/SPS/NEU101.DOC</v>
      </c>
      <c r="M1397" s="2" t="str">
        <f>HYPERLINK("https://docs.wto.org/imrd/directdoc.asp?DDFDocuments/v/G/SPS/NEU101.DOC")</f>
        <v>https://docs.wto.org/imrd/directdoc.asp?DDFDocuments/v/G/SPS/NEU101.DOC</v>
      </c>
      <c r="N1397" s="2" t="str">
        <f>HYPERLINK("http://www.epingalert.org/#/details/G/SPS/N/EU/101")</f>
        <v>http://www.epingalert.org/#/details/G/SPS/N/EU/101</v>
      </c>
      <c r="O1397" s="2"/>
    </row>
    <row r="1398" spans="1:15" ht="240" customHeight="1" outlineLevel="1" x14ac:dyDescent="0.25">
      <c r="A1398" s="2" t="s">
        <v>115</v>
      </c>
      <c r="B1398" s="2" t="s">
        <v>8156</v>
      </c>
      <c r="C1398" s="2" t="s">
        <v>8157</v>
      </c>
      <c r="D1398" s="2" t="s">
        <v>8158</v>
      </c>
      <c r="E1398" s="3">
        <v>41939</v>
      </c>
      <c r="F1398" s="2" t="s">
        <v>8159</v>
      </c>
      <c r="G1398" s="2" t="s">
        <v>5686</v>
      </c>
      <c r="H1398" s="2" t="s">
        <v>2425</v>
      </c>
      <c r="I1398" s="2" t="s">
        <v>2771</v>
      </c>
      <c r="J1398" s="2"/>
      <c r="K1398" s="2" t="str">
        <f>HYPERLINK("https://docs.wto.org/imrd/directdoc.asp?DDFDocuments/t/G/SPS/NJPN372.DOC")</f>
        <v>https://docs.wto.org/imrd/directdoc.asp?DDFDocuments/t/G/SPS/NJPN372.DOC</v>
      </c>
      <c r="L1398" s="2" t="str">
        <f>HYPERLINK("https://docs.wto.org/imrd/directdoc.asp?DDFDocuments/u/G/SPS/NJPN372.DOC")</f>
        <v>https://docs.wto.org/imrd/directdoc.asp?DDFDocuments/u/G/SPS/NJPN372.DOC</v>
      </c>
      <c r="M1398" s="2" t="str">
        <f>HYPERLINK("https://docs.wto.org/imrd/directdoc.asp?DDFDocuments/v/G/SPS/NJPN372.DOC")</f>
        <v>https://docs.wto.org/imrd/directdoc.asp?DDFDocuments/v/G/SPS/NJPN372.DOC</v>
      </c>
      <c r="N1398" s="2" t="str">
        <f>HYPERLINK("http://www.epingalert.org/#/details/G/SPS/N/JPN/372")</f>
        <v>http://www.epingalert.org/#/details/G/SPS/N/JPN/372</v>
      </c>
      <c r="O1398" s="2"/>
    </row>
    <row r="1399" spans="1:15" ht="240" customHeight="1" outlineLevel="1" x14ac:dyDescent="0.25">
      <c r="A1399" s="2" t="s">
        <v>282</v>
      </c>
      <c r="B1399" s="2" t="s">
        <v>5484</v>
      </c>
      <c r="C1399" s="2"/>
      <c r="D1399" s="2"/>
      <c r="E1399" s="3">
        <v>41936</v>
      </c>
      <c r="F1399" s="2" t="s">
        <v>5485</v>
      </c>
      <c r="G1399" s="2" t="s">
        <v>5486</v>
      </c>
      <c r="H1399" s="2"/>
      <c r="I1399" s="2" t="s">
        <v>5487</v>
      </c>
      <c r="J1399" s="2"/>
      <c r="K1399" s="2" t="str">
        <f>HYPERLINK("https://docs.wto.org/imrd/directdoc.asp?DDFDocuments/t/G/SPS/NRUS14A3.DOC")</f>
        <v>https://docs.wto.org/imrd/directdoc.asp?DDFDocuments/t/G/SPS/NRUS14A3.DOC</v>
      </c>
      <c r="L1399" s="2" t="str">
        <f>HYPERLINK("https://docs.wto.org/imrd/directdoc.asp?DDFDocuments/u/G/SPS/NRUS14A3.DOC")</f>
        <v>https://docs.wto.org/imrd/directdoc.asp?DDFDocuments/u/G/SPS/NRUS14A3.DOC</v>
      </c>
      <c r="M1399" s="2" t="str">
        <f>HYPERLINK("https://docs.wto.org/imrd/directdoc.asp?DDFDocuments/v/G/SPS/NRUS14A3.DOC")</f>
        <v>https://docs.wto.org/imrd/directdoc.asp?DDFDocuments/v/G/SPS/NRUS14A3.DOC</v>
      </c>
      <c r="N1399" s="2" t="str">
        <f>HYPERLINK("http://www.epingalert.org/#/details/G/SPS/N/RUS/14/Add.3")</f>
        <v>http://www.epingalert.org/#/details/G/SPS/N/RUS/14/Add.3</v>
      </c>
      <c r="O1399" s="2"/>
    </row>
    <row r="1400" spans="1:15" ht="240" customHeight="1" outlineLevel="1" x14ac:dyDescent="0.25">
      <c r="A1400" s="2" t="s">
        <v>282</v>
      </c>
      <c r="B1400" s="2" t="s">
        <v>5488</v>
      </c>
      <c r="C1400" s="2"/>
      <c r="D1400" s="2"/>
      <c r="E1400" s="3">
        <v>41936</v>
      </c>
      <c r="F1400" s="2" t="s">
        <v>5489</v>
      </c>
      <c r="G1400" s="2" t="s">
        <v>5490</v>
      </c>
      <c r="H1400" s="2" t="s">
        <v>2648</v>
      </c>
      <c r="I1400" s="2" t="s">
        <v>2444</v>
      </c>
      <c r="J1400" s="2"/>
      <c r="K1400" s="2" t="str">
        <f>HYPERLINK("https://docs.wto.org/imrd/directdoc.asp?DDFDocuments/t/G/SPS/NRUS43A1.DOC")</f>
        <v>https://docs.wto.org/imrd/directdoc.asp?DDFDocuments/t/G/SPS/NRUS43A1.DOC</v>
      </c>
      <c r="L1400" s="2" t="str">
        <f>HYPERLINK("https://docs.wto.org/imrd/directdoc.asp?DDFDocuments/u/G/SPS/NRUS43A1.DOC")</f>
        <v>https://docs.wto.org/imrd/directdoc.asp?DDFDocuments/u/G/SPS/NRUS43A1.DOC</v>
      </c>
      <c r="M1400" s="2" t="str">
        <f>HYPERLINK("https://docs.wto.org/imrd/directdoc.asp?DDFDocuments/v/G/SPS/NRUS43A1.DOC")</f>
        <v>https://docs.wto.org/imrd/directdoc.asp?DDFDocuments/v/G/SPS/NRUS43A1.DOC</v>
      </c>
      <c r="N1400" s="2" t="str">
        <f>HYPERLINK("http://www.epingalert.org/#/details/G/SPS/N/RUS/43/Add.1")</f>
        <v>http://www.epingalert.org/#/details/G/SPS/N/RUS/43/Add.1</v>
      </c>
      <c r="O1400" s="2"/>
    </row>
    <row r="1401" spans="1:15" ht="240" customHeight="1" outlineLevel="1" x14ac:dyDescent="0.25">
      <c r="A1401" s="2" t="s">
        <v>77</v>
      </c>
      <c r="B1401" s="2" t="s">
        <v>5497</v>
      </c>
      <c r="C1401" s="2" t="s">
        <v>2433</v>
      </c>
      <c r="D1401" s="2" t="s">
        <v>5498</v>
      </c>
      <c r="E1401" s="3">
        <v>41935</v>
      </c>
      <c r="F1401" s="2" t="s">
        <v>2435</v>
      </c>
      <c r="G1401" s="2"/>
      <c r="H1401" s="2" t="s">
        <v>2425</v>
      </c>
      <c r="I1401" s="2" t="s">
        <v>2426</v>
      </c>
      <c r="J1401" s="3">
        <v>41995</v>
      </c>
      <c r="K1401" s="2" t="str">
        <f>HYPERLINK("https://docs.wto.org/imrd/directdoc.asp?DDFDocuments/t/G/SPS/NTPKM332.DOC")</f>
        <v>https://docs.wto.org/imrd/directdoc.asp?DDFDocuments/t/G/SPS/NTPKM332.DOC</v>
      </c>
      <c r="L1401" s="2" t="str">
        <f>HYPERLINK("https://docs.wto.org/imrd/directdoc.asp?DDFDocuments/u/G/SPS/NTPKM332.DOC")</f>
        <v>https://docs.wto.org/imrd/directdoc.asp?DDFDocuments/u/G/SPS/NTPKM332.DOC</v>
      </c>
      <c r="M1401" s="2" t="str">
        <f>HYPERLINK("https://docs.wto.org/imrd/directdoc.asp?DDFDocuments/v/G/SPS/NTPKM332.DOC")</f>
        <v>https://docs.wto.org/imrd/directdoc.asp?DDFDocuments/v/G/SPS/NTPKM332.DOC</v>
      </c>
      <c r="N1401" s="2" t="str">
        <f>HYPERLINK("http://www.epingalert.org/#/details/G/SPS/N/TPKM/332")</f>
        <v>http://www.epingalert.org/#/details/G/SPS/N/TPKM/332</v>
      </c>
      <c r="O1401" s="2"/>
    </row>
    <row r="1402" spans="1:15" ht="240" customHeight="1" outlineLevel="1" x14ac:dyDescent="0.25">
      <c r="A1402" s="2" t="s">
        <v>115</v>
      </c>
      <c r="B1402" s="2" t="s">
        <v>5491</v>
      </c>
      <c r="C1402" s="2" t="s">
        <v>5492</v>
      </c>
      <c r="D1402" s="2" t="s">
        <v>5493</v>
      </c>
      <c r="E1402" s="3">
        <v>41935</v>
      </c>
      <c r="F1402" s="2" t="s">
        <v>5494</v>
      </c>
      <c r="G1402" s="2"/>
      <c r="H1402" s="2" t="s">
        <v>2425</v>
      </c>
      <c r="I1402" s="2" t="s">
        <v>2426</v>
      </c>
      <c r="J1402" s="2"/>
      <c r="K1402" s="2" t="str">
        <f>HYPERLINK("https://docs.wto.org/imrd/directdoc.asp?DDFDocuments/t/G/SPS/NJPN370.DOC")</f>
        <v>https://docs.wto.org/imrd/directdoc.asp?DDFDocuments/t/G/SPS/NJPN370.DOC</v>
      </c>
      <c r="L1402" s="2" t="str">
        <f>HYPERLINK("https://docs.wto.org/imrd/directdoc.asp?DDFDocuments/u/G/SPS/NJPN370.DOC")</f>
        <v>https://docs.wto.org/imrd/directdoc.asp?DDFDocuments/u/G/SPS/NJPN370.DOC</v>
      </c>
      <c r="M1402" s="2" t="str">
        <f>HYPERLINK("https://docs.wto.org/imrd/directdoc.asp?DDFDocuments/v/G/SPS/NJPN370.DOC")</f>
        <v>https://docs.wto.org/imrd/directdoc.asp?DDFDocuments/v/G/SPS/NJPN370.DOC</v>
      </c>
      <c r="N1402" s="2" t="str">
        <f>HYPERLINK("http://www.epingalert.org/#/details/G/SPS/N/JPN/370")</f>
        <v>http://www.epingalert.org/#/details/G/SPS/N/JPN/370</v>
      </c>
      <c r="O1402" s="2"/>
    </row>
    <row r="1403" spans="1:15" ht="240" customHeight="1" outlineLevel="1" x14ac:dyDescent="0.25">
      <c r="A1403" s="2" t="s">
        <v>115</v>
      </c>
      <c r="B1403" s="2" t="s">
        <v>5495</v>
      </c>
      <c r="C1403" s="2" t="s">
        <v>5492</v>
      </c>
      <c r="D1403" s="2" t="s">
        <v>5496</v>
      </c>
      <c r="E1403" s="3">
        <v>41935</v>
      </c>
      <c r="F1403" s="2" t="s">
        <v>2869</v>
      </c>
      <c r="G1403" s="2"/>
      <c r="H1403" s="2" t="s">
        <v>2425</v>
      </c>
      <c r="I1403" s="2" t="s">
        <v>2426</v>
      </c>
      <c r="J1403" s="2"/>
      <c r="K1403" s="2" t="str">
        <f>HYPERLINK("https://docs.wto.org/imrd/directdoc.asp?DDFDocuments/t/G/SPS/NJPN369.DOC")</f>
        <v>https://docs.wto.org/imrd/directdoc.asp?DDFDocuments/t/G/SPS/NJPN369.DOC</v>
      </c>
      <c r="L1403" s="2" t="str">
        <f>HYPERLINK("https://docs.wto.org/imrd/directdoc.asp?DDFDocuments/u/G/SPS/NJPN369.DOC")</f>
        <v>https://docs.wto.org/imrd/directdoc.asp?DDFDocuments/u/G/SPS/NJPN369.DOC</v>
      </c>
      <c r="M1403" s="2" t="str">
        <f>HYPERLINK("https://docs.wto.org/imrd/directdoc.asp?DDFDocuments/v/G/SPS/NJPN369.DOC")</f>
        <v>https://docs.wto.org/imrd/directdoc.asp?DDFDocuments/v/G/SPS/NJPN369.DOC</v>
      </c>
      <c r="N1403" s="2" t="str">
        <f>HYPERLINK("http://www.epingalert.org/#/details/G/SPS/N/JPN/369")</f>
        <v>http://www.epingalert.org/#/details/G/SPS/N/JPN/369</v>
      </c>
      <c r="O1403" s="2"/>
    </row>
    <row r="1404" spans="1:15" ht="240" customHeight="1" outlineLevel="1" x14ac:dyDescent="0.25">
      <c r="A1404" s="2" t="s">
        <v>380</v>
      </c>
      <c r="B1404" s="2" t="s">
        <v>5499</v>
      </c>
      <c r="C1404" s="2" t="s">
        <v>5500</v>
      </c>
      <c r="D1404" s="2" t="s">
        <v>5501</v>
      </c>
      <c r="E1404" s="3">
        <v>41934</v>
      </c>
      <c r="F1404" s="2" t="s">
        <v>5502</v>
      </c>
      <c r="G1404" s="2"/>
      <c r="H1404" s="2" t="s">
        <v>2425</v>
      </c>
      <c r="I1404" s="2" t="s">
        <v>2461</v>
      </c>
      <c r="J1404" s="3">
        <v>41994</v>
      </c>
      <c r="K1404" s="2" t="str">
        <f>HYPERLINK("https://docs.wto.org/imrd/directdoc.asp?DDFDocuments/t/G/SPS/NCHN700.DOC")</f>
        <v>https://docs.wto.org/imrd/directdoc.asp?DDFDocuments/t/G/SPS/NCHN700.DOC</v>
      </c>
      <c r="L1404" s="2" t="str">
        <f>HYPERLINK("https://docs.wto.org/imrd/directdoc.asp?DDFDocuments/u/G/SPS/NCHN700.DOC")</f>
        <v>https://docs.wto.org/imrd/directdoc.asp?DDFDocuments/u/G/SPS/NCHN700.DOC</v>
      </c>
      <c r="M1404" s="2" t="str">
        <f>HYPERLINK("https://docs.wto.org/imrd/directdoc.asp?DDFDocuments/v/G/SPS/NCHN700.DOC")</f>
        <v>https://docs.wto.org/imrd/directdoc.asp?DDFDocuments/v/G/SPS/NCHN700.DOC</v>
      </c>
      <c r="N1404" s="2" t="str">
        <f>HYPERLINK("http://www.epingalert.org/#/details/G/SPS/N/CHN/700")</f>
        <v>http://www.epingalert.org/#/details/G/SPS/N/CHN/700</v>
      </c>
      <c r="O1404" s="2"/>
    </row>
    <row r="1405" spans="1:15" ht="240" customHeight="1" outlineLevel="1" x14ac:dyDescent="0.25">
      <c r="A1405" s="2" t="s">
        <v>380</v>
      </c>
      <c r="B1405" s="2" t="s">
        <v>5503</v>
      </c>
      <c r="C1405" s="2" t="s">
        <v>5504</v>
      </c>
      <c r="D1405" s="2" t="s">
        <v>5505</v>
      </c>
      <c r="E1405" s="3">
        <v>41934</v>
      </c>
      <c r="F1405" s="2" t="s">
        <v>5506</v>
      </c>
      <c r="G1405" s="2"/>
      <c r="H1405" s="2" t="s">
        <v>2425</v>
      </c>
      <c r="I1405" s="2" t="s">
        <v>2461</v>
      </c>
      <c r="J1405" s="3">
        <v>41994</v>
      </c>
      <c r="K1405" s="2" t="str">
        <f>HYPERLINK("https://docs.wto.org/imrd/directdoc.asp?DDFDocuments/t/G/SPS/NCHN699.DOC")</f>
        <v>https://docs.wto.org/imrd/directdoc.asp?DDFDocuments/t/G/SPS/NCHN699.DOC</v>
      </c>
      <c r="L1405" s="2" t="str">
        <f>HYPERLINK("https://docs.wto.org/imrd/directdoc.asp?DDFDocuments/u/G/SPS/NCHN699.DOC")</f>
        <v>https://docs.wto.org/imrd/directdoc.asp?DDFDocuments/u/G/SPS/NCHN699.DOC</v>
      </c>
      <c r="M1405" s="2" t="str">
        <f>HYPERLINK("https://docs.wto.org/imrd/directdoc.asp?DDFDocuments/v/G/SPS/NCHN699.DOC")</f>
        <v>https://docs.wto.org/imrd/directdoc.asp?DDFDocuments/v/G/SPS/NCHN699.DOC</v>
      </c>
      <c r="N1405" s="2" t="str">
        <f>HYPERLINK("http://www.epingalert.org/#/details/G/SPS/N/CHN/699")</f>
        <v>http://www.epingalert.org/#/details/G/SPS/N/CHN/699</v>
      </c>
      <c r="O1405" s="2"/>
    </row>
    <row r="1406" spans="1:15" ht="240" customHeight="1" outlineLevel="1" x14ac:dyDescent="0.25">
      <c r="A1406" s="2" t="s">
        <v>380</v>
      </c>
      <c r="B1406" s="2" t="s">
        <v>5507</v>
      </c>
      <c r="C1406" s="2" t="s">
        <v>5508</v>
      </c>
      <c r="D1406" s="2" t="s">
        <v>5509</v>
      </c>
      <c r="E1406" s="3">
        <v>41934</v>
      </c>
      <c r="F1406" s="2" t="s">
        <v>5510</v>
      </c>
      <c r="G1406" s="2"/>
      <c r="H1406" s="2" t="s">
        <v>2425</v>
      </c>
      <c r="I1406" s="2" t="s">
        <v>2461</v>
      </c>
      <c r="J1406" s="3">
        <v>41994</v>
      </c>
      <c r="K1406" s="2" t="str">
        <f>HYPERLINK("https://docs.wto.org/imrd/directdoc.asp?DDFDocuments/t/G/SPS/NCHN698.DOC")</f>
        <v>https://docs.wto.org/imrd/directdoc.asp?DDFDocuments/t/G/SPS/NCHN698.DOC</v>
      </c>
      <c r="L1406" s="2" t="str">
        <f>HYPERLINK("https://docs.wto.org/imrd/directdoc.asp?DDFDocuments/u/G/SPS/NCHN698.DOC")</f>
        <v>https://docs.wto.org/imrd/directdoc.asp?DDFDocuments/u/G/SPS/NCHN698.DOC</v>
      </c>
      <c r="M1406" s="2" t="str">
        <f>HYPERLINK("https://docs.wto.org/imrd/directdoc.asp?DDFDocuments/v/G/SPS/NCHN698.DOC")</f>
        <v>https://docs.wto.org/imrd/directdoc.asp?DDFDocuments/v/G/SPS/NCHN698.DOC</v>
      </c>
      <c r="N1406" s="2" t="str">
        <f>HYPERLINK("http://www.epingalert.org/#/details/G/SPS/N/CHN/698")</f>
        <v>http://www.epingalert.org/#/details/G/SPS/N/CHN/698</v>
      </c>
      <c r="O1406" s="2"/>
    </row>
    <row r="1407" spans="1:15" ht="240" customHeight="1" outlineLevel="1" x14ac:dyDescent="0.25">
      <c r="A1407" s="2" t="s">
        <v>380</v>
      </c>
      <c r="B1407" s="2" t="s">
        <v>5511</v>
      </c>
      <c r="C1407" s="2" t="s">
        <v>5512</v>
      </c>
      <c r="D1407" s="2" t="s">
        <v>5513</v>
      </c>
      <c r="E1407" s="3">
        <v>41934</v>
      </c>
      <c r="F1407" s="2" t="s">
        <v>5514</v>
      </c>
      <c r="G1407" s="2"/>
      <c r="H1407" s="2" t="s">
        <v>2425</v>
      </c>
      <c r="I1407" s="2" t="s">
        <v>2461</v>
      </c>
      <c r="J1407" s="3">
        <v>41994</v>
      </c>
      <c r="K1407" s="2" t="str">
        <f>HYPERLINK("https://docs.wto.org/imrd/directdoc.asp?DDFDocuments/t/G/SPS/NCHN697.DOC")</f>
        <v>https://docs.wto.org/imrd/directdoc.asp?DDFDocuments/t/G/SPS/NCHN697.DOC</v>
      </c>
      <c r="L1407" s="2" t="str">
        <f>HYPERLINK("https://docs.wto.org/imrd/directdoc.asp?DDFDocuments/u/G/SPS/NCHN697.DOC")</f>
        <v>https://docs.wto.org/imrd/directdoc.asp?DDFDocuments/u/G/SPS/NCHN697.DOC</v>
      </c>
      <c r="M1407" s="2" t="str">
        <f>HYPERLINK("https://docs.wto.org/imrd/directdoc.asp?DDFDocuments/v/G/SPS/NCHN697.DOC")</f>
        <v>https://docs.wto.org/imrd/directdoc.asp?DDFDocuments/v/G/SPS/NCHN697.DOC</v>
      </c>
      <c r="N1407" s="2" t="str">
        <f>HYPERLINK("http://www.epingalert.org/#/details/G/SPS/N/CHN/697")</f>
        <v>http://www.epingalert.org/#/details/G/SPS/N/CHN/697</v>
      </c>
      <c r="O1407" s="2"/>
    </row>
    <row r="1408" spans="1:15" ht="240" customHeight="1" outlineLevel="1" x14ac:dyDescent="0.25">
      <c r="A1408" s="2" t="s">
        <v>380</v>
      </c>
      <c r="B1408" s="2" t="s">
        <v>5515</v>
      </c>
      <c r="C1408" s="2" t="s">
        <v>5516</v>
      </c>
      <c r="D1408" s="2" t="s">
        <v>5517</v>
      </c>
      <c r="E1408" s="3">
        <v>41934</v>
      </c>
      <c r="F1408" s="2" t="s">
        <v>5518</v>
      </c>
      <c r="G1408" s="2"/>
      <c r="H1408" s="2" t="s">
        <v>2425</v>
      </c>
      <c r="I1408" s="2" t="s">
        <v>2461</v>
      </c>
      <c r="J1408" s="3">
        <v>41994</v>
      </c>
      <c r="K1408" s="2" t="str">
        <f>HYPERLINK("https://docs.wto.org/imrd/directdoc.asp?DDFDocuments/t/G/SPS/NCHN696.DOC")</f>
        <v>https://docs.wto.org/imrd/directdoc.asp?DDFDocuments/t/G/SPS/NCHN696.DOC</v>
      </c>
      <c r="L1408" s="2" t="str">
        <f>HYPERLINK("https://docs.wto.org/imrd/directdoc.asp?DDFDocuments/u/G/SPS/NCHN696.DOC")</f>
        <v>https://docs.wto.org/imrd/directdoc.asp?DDFDocuments/u/G/SPS/NCHN696.DOC</v>
      </c>
      <c r="M1408" s="2" t="str">
        <f>HYPERLINK("https://docs.wto.org/imrd/directdoc.asp?DDFDocuments/v/G/SPS/NCHN696.DOC")</f>
        <v>https://docs.wto.org/imrd/directdoc.asp?DDFDocuments/v/G/SPS/NCHN696.DOC</v>
      </c>
      <c r="N1408" s="2" t="str">
        <f>HYPERLINK("http://www.epingalert.org/#/details/G/SPS/N/CHN/696")</f>
        <v>http://www.epingalert.org/#/details/G/SPS/N/CHN/696</v>
      </c>
      <c r="O1408" s="2"/>
    </row>
    <row r="1409" spans="1:15" ht="240" customHeight="1" outlineLevel="1" x14ac:dyDescent="0.25">
      <c r="A1409" s="2" t="s">
        <v>380</v>
      </c>
      <c r="B1409" s="2" t="s">
        <v>5519</v>
      </c>
      <c r="C1409" s="2" t="s">
        <v>5520</v>
      </c>
      <c r="D1409" s="2" t="s">
        <v>5521</v>
      </c>
      <c r="E1409" s="3">
        <v>41934</v>
      </c>
      <c r="F1409" s="2" t="s">
        <v>5522</v>
      </c>
      <c r="G1409" s="2"/>
      <c r="H1409" s="2" t="s">
        <v>2425</v>
      </c>
      <c r="I1409" s="2" t="s">
        <v>2461</v>
      </c>
      <c r="J1409" s="3">
        <v>41994</v>
      </c>
      <c r="K1409" s="2" t="str">
        <f>HYPERLINK("https://docs.wto.org/imrd/directdoc.asp?DDFDocuments/t/G/SPS/NCHN695.DOC")</f>
        <v>https://docs.wto.org/imrd/directdoc.asp?DDFDocuments/t/G/SPS/NCHN695.DOC</v>
      </c>
      <c r="L1409" s="2" t="str">
        <f>HYPERLINK("https://docs.wto.org/imrd/directdoc.asp?DDFDocuments/u/G/SPS/NCHN695.DOC")</f>
        <v>https://docs.wto.org/imrd/directdoc.asp?DDFDocuments/u/G/SPS/NCHN695.DOC</v>
      </c>
      <c r="M1409" s="2" t="str">
        <f>HYPERLINK("https://docs.wto.org/imrd/directdoc.asp?DDFDocuments/v/G/SPS/NCHN695.DOC")</f>
        <v>https://docs.wto.org/imrd/directdoc.asp?DDFDocuments/v/G/SPS/NCHN695.DOC</v>
      </c>
      <c r="N1409" s="2" t="str">
        <f>HYPERLINK("http://www.epingalert.org/#/details/G/SPS/N/CHN/695")</f>
        <v>http://www.epingalert.org/#/details/G/SPS/N/CHN/695</v>
      </c>
      <c r="O1409" s="2"/>
    </row>
    <row r="1410" spans="1:15" ht="240" customHeight="1" outlineLevel="1" x14ac:dyDescent="0.25">
      <c r="A1410" s="2" t="s">
        <v>380</v>
      </c>
      <c r="B1410" s="2" t="s">
        <v>5523</v>
      </c>
      <c r="C1410" s="2" t="s">
        <v>5524</v>
      </c>
      <c r="D1410" s="2" t="s">
        <v>5525</v>
      </c>
      <c r="E1410" s="3">
        <v>41934</v>
      </c>
      <c r="F1410" s="2" t="s">
        <v>5526</v>
      </c>
      <c r="G1410" s="2"/>
      <c r="H1410" s="2" t="s">
        <v>2425</v>
      </c>
      <c r="I1410" s="2" t="s">
        <v>2461</v>
      </c>
      <c r="J1410" s="3">
        <v>41994</v>
      </c>
      <c r="K1410" s="2" t="str">
        <f>HYPERLINK("https://docs.wto.org/imrd/directdoc.asp?DDFDocuments/t/G/SPS/NCHN694.DOC")</f>
        <v>https://docs.wto.org/imrd/directdoc.asp?DDFDocuments/t/G/SPS/NCHN694.DOC</v>
      </c>
      <c r="L1410" s="2" t="str">
        <f>HYPERLINK("https://docs.wto.org/imrd/directdoc.asp?DDFDocuments/u/G/SPS/NCHN694.DOC")</f>
        <v>https://docs.wto.org/imrd/directdoc.asp?DDFDocuments/u/G/SPS/NCHN694.DOC</v>
      </c>
      <c r="M1410" s="2" t="str">
        <f>HYPERLINK("https://docs.wto.org/imrd/directdoc.asp?DDFDocuments/v/G/SPS/NCHN694.DOC")</f>
        <v>https://docs.wto.org/imrd/directdoc.asp?DDFDocuments/v/G/SPS/NCHN694.DOC</v>
      </c>
      <c r="N1410" s="2" t="str">
        <f>HYPERLINK("http://www.epingalert.org/#/details/G/SPS/N/CHN/694")</f>
        <v>http://www.epingalert.org/#/details/G/SPS/N/CHN/694</v>
      </c>
      <c r="O1410" s="2"/>
    </row>
    <row r="1411" spans="1:15" ht="240" customHeight="1" outlineLevel="1" x14ac:dyDescent="0.25">
      <c r="A1411" s="2" t="s">
        <v>380</v>
      </c>
      <c r="B1411" s="2" t="s">
        <v>5527</v>
      </c>
      <c r="C1411" s="2" t="s">
        <v>5528</v>
      </c>
      <c r="D1411" s="2" t="s">
        <v>5529</v>
      </c>
      <c r="E1411" s="3">
        <v>41934</v>
      </c>
      <c r="F1411" s="2" t="s">
        <v>5530</v>
      </c>
      <c r="G1411" s="2"/>
      <c r="H1411" s="2" t="s">
        <v>2425</v>
      </c>
      <c r="I1411" s="2" t="s">
        <v>2461</v>
      </c>
      <c r="J1411" s="3">
        <v>41994</v>
      </c>
      <c r="K1411" s="2" t="str">
        <f>HYPERLINK("https://docs.wto.org/imrd/directdoc.asp?DDFDocuments/t/G/SPS/NCHN693.DOC")</f>
        <v>https://docs.wto.org/imrd/directdoc.asp?DDFDocuments/t/G/SPS/NCHN693.DOC</v>
      </c>
      <c r="L1411" s="2" t="str">
        <f>HYPERLINK("https://docs.wto.org/imrd/directdoc.asp?DDFDocuments/u/G/SPS/NCHN693.DOC")</f>
        <v>https://docs.wto.org/imrd/directdoc.asp?DDFDocuments/u/G/SPS/NCHN693.DOC</v>
      </c>
      <c r="M1411" s="2" t="str">
        <f>HYPERLINK("https://docs.wto.org/imrd/directdoc.asp?DDFDocuments/v/G/SPS/NCHN693.DOC")</f>
        <v>https://docs.wto.org/imrd/directdoc.asp?DDFDocuments/v/G/SPS/NCHN693.DOC</v>
      </c>
      <c r="N1411" s="2" t="str">
        <f>HYPERLINK("http://www.epingalert.org/#/details/G/SPS/N/CHN/693")</f>
        <v>http://www.epingalert.org/#/details/G/SPS/N/CHN/693</v>
      </c>
      <c r="O1411" s="2"/>
    </row>
    <row r="1412" spans="1:15" ht="240" customHeight="1" outlineLevel="1" x14ac:dyDescent="0.25">
      <c r="A1412" s="2" t="s">
        <v>380</v>
      </c>
      <c r="B1412" s="2" t="s">
        <v>5531</v>
      </c>
      <c r="C1412" s="2" t="s">
        <v>5532</v>
      </c>
      <c r="D1412" s="2" t="s">
        <v>5533</v>
      </c>
      <c r="E1412" s="3">
        <v>41934</v>
      </c>
      <c r="F1412" s="2" t="s">
        <v>5534</v>
      </c>
      <c r="G1412" s="2"/>
      <c r="H1412" s="2" t="s">
        <v>2425</v>
      </c>
      <c r="I1412" s="2" t="s">
        <v>2461</v>
      </c>
      <c r="J1412" s="3">
        <v>41994</v>
      </c>
      <c r="K1412" s="2" t="str">
        <f>HYPERLINK("https://docs.wto.org/imrd/directdoc.asp?DDFDocuments/t/G/SPS/NCHN692.DOC")</f>
        <v>https://docs.wto.org/imrd/directdoc.asp?DDFDocuments/t/G/SPS/NCHN692.DOC</v>
      </c>
      <c r="L1412" s="2" t="str">
        <f>HYPERLINK("https://docs.wto.org/imrd/directdoc.asp?DDFDocuments/u/G/SPS/NCHN692.DOC")</f>
        <v>https://docs.wto.org/imrd/directdoc.asp?DDFDocuments/u/G/SPS/NCHN692.DOC</v>
      </c>
      <c r="M1412" s="2" t="str">
        <f>HYPERLINK("https://docs.wto.org/imrd/directdoc.asp?DDFDocuments/v/G/SPS/NCHN692.DOC")</f>
        <v>https://docs.wto.org/imrd/directdoc.asp?DDFDocuments/v/G/SPS/NCHN692.DOC</v>
      </c>
      <c r="N1412" s="2" t="str">
        <f>HYPERLINK("http://www.epingalert.org/#/details/G/SPS/N/CHN/692")</f>
        <v>http://www.epingalert.org/#/details/G/SPS/N/CHN/692</v>
      </c>
      <c r="O1412" s="2"/>
    </row>
    <row r="1413" spans="1:15" ht="240" customHeight="1" outlineLevel="1" x14ac:dyDescent="0.25">
      <c r="A1413" s="2" t="s">
        <v>380</v>
      </c>
      <c r="B1413" s="2" t="s">
        <v>5535</v>
      </c>
      <c r="C1413" s="2" t="s">
        <v>5536</v>
      </c>
      <c r="D1413" s="2" t="s">
        <v>5537</v>
      </c>
      <c r="E1413" s="3">
        <v>41934</v>
      </c>
      <c r="F1413" s="2" t="s">
        <v>5538</v>
      </c>
      <c r="G1413" s="2"/>
      <c r="H1413" s="2" t="s">
        <v>2425</v>
      </c>
      <c r="I1413" s="2" t="s">
        <v>2461</v>
      </c>
      <c r="J1413" s="3">
        <v>41994</v>
      </c>
      <c r="K1413" s="2" t="str">
        <f>HYPERLINK("https://docs.wto.org/imrd/directdoc.asp?DDFDocuments/t/G/SPS/NCHN691.DOC")</f>
        <v>https://docs.wto.org/imrd/directdoc.asp?DDFDocuments/t/G/SPS/NCHN691.DOC</v>
      </c>
      <c r="L1413" s="2" t="str">
        <f>HYPERLINK("https://docs.wto.org/imrd/directdoc.asp?DDFDocuments/u/G/SPS/NCHN691.DOC")</f>
        <v>https://docs.wto.org/imrd/directdoc.asp?DDFDocuments/u/G/SPS/NCHN691.DOC</v>
      </c>
      <c r="M1413" s="2" t="str">
        <f>HYPERLINK("https://docs.wto.org/imrd/directdoc.asp?DDFDocuments/v/G/SPS/NCHN691.DOC")</f>
        <v>https://docs.wto.org/imrd/directdoc.asp?DDFDocuments/v/G/SPS/NCHN691.DOC</v>
      </c>
      <c r="N1413" s="2" t="str">
        <f>HYPERLINK("http://www.epingalert.org/#/details/G/SPS/N/CHN/691")</f>
        <v>http://www.epingalert.org/#/details/G/SPS/N/CHN/691</v>
      </c>
      <c r="O1413" s="2"/>
    </row>
    <row r="1414" spans="1:15" ht="240" customHeight="1" outlineLevel="1" x14ac:dyDescent="0.25">
      <c r="A1414" s="2" t="s">
        <v>380</v>
      </c>
      <c r="B1414" s="2" t="s">
        <v>5539</v>
      </c>
      <c r="C1414" s="2" t="s">
        <v>5540</v>
      </c>
      <c r="D1414" s="2" t="s">
        <v>5541</v>
      </c>
      <c r="E1414" s="3">
        <v>41934</v>
      </c>
      <c r="F1414" s="2" t="s">
        <v>5542</v>
      </c>
      <c r="G1414" s="2"/>
      <c r="H1414" s="2" t="s">
        <v>2425</v>
      </c>
      <c r="I1414" s="2" t="s">
        <v>2461</v>
      </c>
      <c r="J1414" s="3">
        <v>41994</v>
      </c>
      <c r="K1414" s="2" t="str">
        <f>HYPERLINK("https://docs.wto.org/imrd/directdoc.asp?DDFDocuments/t/G/SPS/NCHN690.DOC")</f>
        <v>https://docs.wto.org/imrd/directdoc.asp?DDFDocuments/t/G/SPS/NCHN690.DOC</v>
      </c>
      <c r="L1414" s="2" t="str">
        <f>HYPERLINK("https://docs.wto.org/imrd/directdoc.asp?DDFDocuments/u/G/SPS/NCHN690.DOC")</f>
        <v>https://docs.wto.org/imrd/directdoc.asp?DDFDocuments/u/G/SPS/NCHN690.DOC</v>
      </c>
      <c r="M1414" s="2" t="str">
        <f>HYPERLINK("https://docs.wto.org/imrd/directdoc.asp?DDFDocuments/v/G/SPS/NCHN690.DOC")</f>
        <v>https://docs.wto.org/imrd/directdoc.asp?DDFDocuments/v/G/SPS/NCHN690.DOC</v>
      </c>
      <c r="N1414" s="2" t="str">
        <f>HYPERLINK("http://www.epingalert.org/#/details/G/SPS/N/CHN/690")</f>
        <v>http://www.epingalert.org/#/details/G/SPS/N/CHN/690</v>
      </c>
      <c r="O1414" s="2"/>
    </row>
    <row r="1415" spans="1:15" ht="240" customHeight="1" outlineLevel="1" x14ac:dyDescent="0.25">
      <c r="A1415" s="2" t="s">
        <v>7355</v>
      </c>
      <c r="B1415" s="2" t="s">
        <v>8160</v>
      </c>
      <c r="C1415" s="2"/>
      <c r="D1415" s="2"/>
      <c r="E1415" s="3">
        <v>41934</v>
      </c>
      <c r="F1415" s="2" t="s">
        <v>8161</v>
      </c>
      <c r="G1415" s="2" t="s">
        <v>7008</v>
      </c>
      <c r="H1415" s="2" t="s">
        <v>2573</v>
      </c>
      <c r="I1415" s="2" t="s">
        <v>2491</v>
      </c>
      <c r="J1415" s="2"/>
      <c r="K1415" s="2" t="str">
        <f>HYPERLINK("https://docs.wto.org/imrd/directdoc.asp?DDFDocuments/t/G/SPS/NJOR24A1.DOC")</f>
        <v>https://docs.wto.org/imrd/directdoc.asp?DDFDocuments/t/G/SPS/NJOR24A1.DOC</v>
      </c>
      <c r="L1415" s="2" t="str">
        <f>HYPERLINK("https://docs.wto.org/imrd/directdoc.asp?DDFDocuments/u/G/SPS/NJOR24A1.DOC")</f>
        <v>https://docs.wto.org/imrd/directdoc.asp?DDFDocuments/u/G/SPS/NJOR24A1.DOC</v>
      </c>
      <c r="M1415" s="2" t="str">
        <f>HYPERLINK("https://docs.wto.org/imrd/directdoc.asp?DDFDocuments/v/G/SPS/NJOR24A1.DOC")</f>
        <v>https://docs.wto.org/imrd/directdoc.asp?DDFDocuments/v/G/SPS/NJOR24A1.DOC</v>
      </c>
      <c r="N1415" s="2" t="str">
        <f>HYPERLINK("http://www.epingalert.org/#/details/G/SPS/N/JOR/24/Add.1")</f>
        <v>http://www.epingalert.org/#/details/G/SPS/N/JOR/24/Add.1</v>
      </c>
      <c r="O1415" s="2"/>
    </row>
    <row r="1416" spans="1:15" ht="240" customHeight="1" outlineLevel="1" x14ac:dyDescent="0.25">
      <c r="A1416" s="2" t="s">
        <v>42</v>
      </c>
      <c r="B1416" s="2" t="s">
        <v>5543</v>
      </c>
      <c r="C1416" s="2"/>
      <c r="D1416" s="2"/>
      <c r="E1416" s="3">
        <v>41933</v>
      </c>
      <c r="F1416" s="2" t="s">
        <v>5544</v>
      </c>
      <c r="G1416" s="2"/>
      <c r="H1416" s="2" t="s">
        <v>2573</v>
      </c>
      <c r="I1416" s="2" t="s">
        <v>2491</v>
      </c>
      <c r="J1416" s="2"/>
      <c r="K1416" s="2" t="str">
        <f>HYPERLINK("https://docs.wto.org/imrd/directdoc.asp?DDFDocuments/t/G/SPS/NBRA944A1.DOC")</f>
        <v>https://docs.wto.org/imrd/directdoc.asp?DDFDocuments/t/G/SPS/NBRA944A1.DOC</v>
      </c>
      <c r="L1416" s="2" t="str">
        <f>HYPERLINK("https://docs.wto.org/imrd/directdoc.asp?DDFDocuments/u/G/SPS/NBRA944A1.DOC")</f>
        <v>https://docs.wto.org/imrd/directdoc.asp?DDFDocuments/u/G/SPS/NBRA944A1.DOC</v>
      </c>
      <c r="M1416" s="2" t="str">
        <f>HYPERLINK("https://docs.wto.org/imrd/directdoc.asp?DDFDocuments/v/G/SPS/NBRA944A1.DOC")</f>
        <v>https://docs.wto.org/imrd/directdoc.asp?DDFDocuments/v/G/SPS/NBRA944A1.DOC</v>
      </c>
      <c r="N1416" s="2" t="str">
        <f>HYPERLINK("http://www.epingalert.org/#/details/G/SPS/N/BRA/944/Add.1")</f>
        <v>http://www.epingalert.org/#/details/G/SPS/N/BRA/944/Add.1</v>
      </c>
      <c r="O1416" s="2"/>
    </row>
    <row r="1417" spans="1:15" ht="240" customHeight="1" outlineLevel="1" x14ac:dyDescent="0.25">
      <c r="A1417" s="2" t="s">
        <v>42</v>
      </c>
      <c r="B1417" s="2" t="s">
        <v>5545</v>
      </c>
      <c r="C1417" s="2"/>
      <c r="D1417" s="2"/>
      <c r="E1417" s="3">
        <v>41933</v>
      </c>
      <c r="F1417" s="2" t="s">
        <v>5546</v>
      </c>
      <c r="G1417" s="2"/>
      <c r="H1417" s="2" t="s">
        <v>2573</v>
      </c>
      <c r="I1417" s="2" t="s">
        <v>5547</v>
      </c>
      <c r="J1417" s="2"/>
      <c r="K1417" s="2" t="str">
        <f>HYPERLINK("https://docs.wto.org/imrd/directdoc.asp?DDFDocuments/t/G/SPS/NBRA948A1.DOC")</f>
        <v>https://docs.wto.org/imrd/directdoc.asp?DDFDocuments/t/G/SPS/NBRA948A1.DOC</v>
      </c>
      <c r="L1417" s="2" t="str">
        <f>HYPERLINK("https://docs.wto.org/imrd/directdoc.asp?DDFDocuments/u/G/SPS/NBRA948A1.DOC")</f>
        <v>https://docs.wto.org/imrd/directdoc.asp?DDFDocuments/u/G/SPS/NBRA948A1.DOC</v>
      </c>
      <c r="M1417" s="2" t="str">
        <f>HYPERLINK("https://docs.wto.org/imrd/directdoc.asp?DDFDocuments/v/G/SPS/NBRA948A1.DOC")</f>
        <v>https://docs.wto.org/imrd/directdoc.asp?DDFDocuments/v/G/SPS/NBRA948A1.DOC</v>
      </c>
      <c r="N1417" s="2" t="str">
        <f>HYPERLINK("http://www.epingalert.org/#/details/G/SPS/N/BRA/948/Add.1")</f>
        <v>http://www.epingalert.org/#/details/G/SPS/N/BRA/948/Add.1</v>
      </c>
      <c r="O1417" s="2"/>
    </row>
    <row r="1418" spans="1:15" ht="240" customHeight="1" outlineLevel="1" x14ac:dyDescent="0.25">
      <c r="A1418" s="2" t="s">
        <v>42</v>
      </c>
      <c r="B1418" s="2" t="s">
        <v>5548</v>
      </c>
      <c r="C1418" s="2"/>
      <c r="D1418" s="2"/>
      <c r="E1418" s="3">
        <v>41933</v>
      </c>
      <c r="F1418" s="2" t="s">
        <v>5549</v>
      </c>
      <c r="G1418" s="2"/>
      <c r="H1418" s="2" t="s">
        <v>2573</v>
      </c>
      <c r="I1418" s="2" t="s">
        <v>5547</v>
      </c>
      <c r="J1418" s="2"/>
      <c r="K1418" s="2" t="str">
        <f>HYPERLINK("https://docs.wto.org/imrd/directdoc.asp?DDFDocuments/t/G/SPS/NBRA959A1.DOC")</f>
        <v>https://docs.wto.org/imrd/directdoc.asp?DDFDocuments/t/G/SPS/NBRA959A1.DOC</v>
      </c>
      <c r="L1418" s="2" t="str">
        <f>HYPERLINK("https://docs.wto.org/imrd/directdoc.asp?DDFDocuments/u/G/SPS/NBRA959A1.DOC")</f>
        <v>https://docs.wto.org/imrd/directdoc.asp?DDFDocuments/u/G/SPS/NBRA959A1.DOC</v>
      </c>
      <c r="M1418" s="2" t="str">
        <f>HYPERLINK("https://docs.wto.org/imrd/directdoc.asp?DDFDocuments/v/G/SPS/NBRA959A1.DOC")</f>
        <v>https://docs.wto.org/imrd/directdoc.asp?DDFDocuments/v/G/SPS/NBRA959A1.DOC</v>
      </c>
      <c r="N1418" s="2" t="str">
        <f>HYPERLINK("http://www.epingalert.org/#/details/G/SPS/N/BRA/959/Add.1")</f>
        <v>http://www.epingalert.org/#/details/G/SPS/N/BRA/959/Add.1</v>
      </c>
      <c r="O1418" s="2"/>
    </row>
    <row r="1419" spans="1:15" ht="240" customHeight="1" outlineLevel="1" x14ac:dyDescent="0.25">
      <c r="A1419" s="2" t="s">
        <v>282</v>
      </c>
      <c r="B1419" s="2" t="s">
        <v>8162</v>
      </c>
      <c r="C1419" s="2" t="s">
        <v>8163</v>
      </c>
      <c r="D1419" s="2" t="s">
        <v>8164</v>
      </c>
      <c r="E1419" s="3">
        <v>41933</v>
      </c>
      <c r="F1419" s="2" t="s">
        <v>8165</v>
      </c>
      <c r="G1419" s="2" t="s">
        <v>6227</v>
      </c>
      <c r="H1419" s="2" t="s">
        <v>2573</v>
      </c>
      <c r="I1419" s="2" t="s">
        <v>2713</v>
      </c>
      <c r="J1419" s="2"/>
      <c r="K1419" s="2" t="str">
        <f>HYPERLINK("https://docs.wto.org/imrd/directdoc.asp?DDFDocuments/t/G/SPS/NRUS79.DOC")</f>
        <v>https://docs.wto.org/imrd/directdoc.asp?DDFDocuments/t/G/SPS/NRUS79.DOC</v>
      </c>
      <c r="L1419" s="2" t="str">
        <f>HYPERLINK("https://docs.wto.org/imrd/directdoc.asp?DDFDocuments/u/G/SPS/NRUS79.DOC")</f>
        <v>https://docs.wto.org/imrd/directdoc.asp?DDFDocuments/u/G/SPS/NRUS79.DOC</v>
      </c>
      <c r="M1419" s="2" t="str">
        <f>HYPERLINK("https://docs.wto.org/imrd/directdoc.asp?DDFDocuments/v/G/SPS/NRUS79.DOC")</f>
        <v>https://docs.wto.org/imrd/directdoc.asp?DDFDocuments/v/G/SPS/NRUS79.DOC</v>
      </c>
      <c r="N1419" s="2" t="str">
        <f>HYPERLINK("http://www.epingalert.org/#/details/G/SPS/N/RUS/79")</f>
        <v>http://www.epingalert.org/#/details/G/SPS/N/RUS/79</v>
      </c>
      <c r="O1419" s="2"/>
    </row>
    <row r="1420" spans="1:15" ht="240" customHeight="1" outlineLevel="1" x14ac:dyDescent="0.25">
      <c r="A1420" s="2" t="s">
        <v>42</v>
      </c>
      <c r="B1420" s="2" t="s">
        <v>5550</v>
      </c>
      <c r="C1420" s="2"/>
      <c r="D1420" s="2"/>
      <c r="E1420" s="3">
        <v>41932</v>
      </c>
      <c r="F1420" s="2" t="s">
        <v>5551</v>
      </c>
      <c r="G1420" s="2"/>
      <c r="H1420" s="2" t="s">
        <v>2573</v>
      </c>
      <c r="I1420" s="2" t="s">
        <v>2491</v>
      </c>
      <c r="J1420" s="2"/>
      <c r="K1420" s="2" t="str">
        <f>HYPERLINK("https://docs.wto.org/imrd/directdoc.asp?DDFDocuments/t/G/SPS/NBRA935A1.DOC")</f>
        <v>https://docs.wto.org/imrd/directdoc.asp?DDFDocuments/t/G/SPS/NBRA935A1.DOC</v>
      </c>
      <c r="L1420" s="2" t="str">
        <f>HYPERLINK("https://docs.wto.org/imrd/directdoc.asp?DDFDocuments/u/G/SPS/NBRA935A1.DOC")</f>
        <v>https://docs.wto.org/imrd/directdoc.asp?DDFDocuments/u/G/SPS/NBRA935A1.DOC</v>
      </c>
      <c r="M1420" s="2" t="str">
        <f>HYPERLINK("https://docs.wto.org/imrd/directdoc.asp?DDFDocuments/v/G/SPS/NBRA935A1.DOC")</f>
        <v>https://docs.wto.org/imrd/directdoc.asp?DDFDocuments/v/G/SPS/NBRA935A1.DOC</v>
      </c>
      <c r="N1420" s="2" t="str">
        <f>HYPERLINK("http://www.epingalert.org/#/details/G/SPS/N/BRA/935/Add.1")</f>
        <v>http://www.epingalert.org/#/details/G/SPS/N/BRA/935/Add.1</v>
      </c>
      <c r="O1420" s="2"/>
    </row>
    <row r="1421" spans="1:15" ht="240" customHeight="1" outlineLevel="1" x14ac:dyDescent="0.25">
      <c r="A1421" s="2" t="s">
        <v>42</v>
      </c>
      <c r="B1421" s="2" t="s">
        <v>5552</v>
      </c>
      <c r="C1421" s="2"/>
      <c r="D1421" s="2"/>
      <c r="E1421" s="3">
        <v>41932</v>
      </c>
      <c r="F1421" s="2" t="s">
        <v>5553</v>
      </c>
      <c r="G1421" s="2"/>
      <c r="H1421" s="2" t="s">
        <v>2573</v>
      </c>
      <c r="I1421" s="2" t="s">
        <v>2491</v>
      </c>
      <c r="J1421" s="2"/>
      <c r="K1421" s="2" t="str">
        <f>HYPERLINK("https://docs.wto.org/imrd/directdoc.asp?DDFDocuments/t/G/SPS/NBRA934A1.DOC")</f>
        <v>https://docs.wto.org/imrd/directdoc.asp?DDFDocuments/t/G/SPS/NBRA934A1.DOC</v>
      </c>
      <c r="L1421" s="2" t="str">
        <f>HYPERLINK("https://docs.wto.org/imrd/directdoc.asp?DDFDocuments/u/G/SPS/NBRA934A1.DOC")</f>
        <v>https://docs.wto.org/imrd/directdoc.asp?DDFDocuments/u/G/SPS/NBRA934A1.DOC</v>
      </c>
      <c r="M1421" s="2" t="str">
        <f>HYPERLINK("https://docs.wto.org/imrd/directdoc.asp?DDFDocuments/v/G/SPS/NBRA934A1.DOC")</f>
        <v>https://docs.wto.org/imrd/directdoc.asp?DDFDocuments/v/G/SPS/NBRA934A1.DOC</v>
      </c>
      <c r="N1421" s="2" t="str">
        <f>HYPERLINK("http://www.epingalert.org/#/details/G/SPS/N/BRA/934/Add.1")</f>
        <v>http://www.epingalert.org/#/details/G/SPS/N/BRA/934/Add.1</v>
      </c>
      <c r="O1421" s="2"/>
    </row>
    <row r="1422" spans="1:15" ht="240" customHeight="1" outlineLevel="1" x14ac:dyDescent="0.25">
      <c r="A1422" s="2" t="s">
        <v>42</v>
      </c>
      <c r="B1422" s="2" t="s">
        <v>5554</v>
      </c>
      <c r="C1422" s="2"/>
      <c r="D1422" s="2"/>
      <c r="E1422" s="3">
        <v>41932</v>
      </c>
      <c r="F1422" s="2" t="s">
        <v>5555</v>
      </c>
      <c r="G1422" s="2"/>
      <c r="H1422" s="2" t="s">
        <v>2573</v>
      </c>
      <c r="I1422" s="2" t="s">
        <v>2491</v>
      </c>
      <c r="J1422" s="2"/>
      <c r="K1422" s="2" t="str">
        <f>HYPERLINK("https://docs.wto.org/imrd/directdoc.asp?DDFDocuments/t/G/SPS/NBRA949A1.DOC")</f>
        <v>https://docs.wto.org/imrd/directdoc.asp?DDFDocuments/t/G/SPS/NBRA949A1.DOC</v>
      </c>
      <c r="L1422" s="2" t="str">
        <f>HYPERLINK("https://docs.wto.org/imrd/directdoc.asp?DDFDocuments/u/G/SPS/NBRA949A1.DOC")</f>
        <v>https://docs.wto.org/imrd/directdoc.asp?DDFDocuments/u/G/SPS/NBRA949A1.DOC</v>
      </c>
      <c r="M1422" s="2" t="str">
        <f>HYPERLINK("https://docs.wto.org/imrd/directdoc.asp?DDFDocuments/v/G/SPS/NBRA949A1.DOC")</f>
        <v>https://docs.wto.org/imrd/directdoc.asp?DDFDocuments/v/G/SPS/NBRA949A1.DOC</v>
      </c>
      <c r="N1422" s="2" t="str">
        <f>HYPERLINK("http://www.epingalert.org/#/details/G/SPS/N/BRA/949/Add.1")</f>
        <v>http://www.epingalert.org/#/details/G/SPS/N/BRA/949/Add.1</v>
      </c>
      <c r="O1422" s="2"/>
    </row>
    <row r="1423" spans="1:15" ht="240" customHeight="1" outlineLevel="1" x14ac:dyDescent="0.25">
      <c r="A1423" s="2" t="s">
        <v>42</v>
      </c>
      <c r="B1423" s="2" t="s">
        <v>5556</v>
      </c>
      <c r="C1423" s="2"/>
      <c r="D1423" s="2"/>
      <c r="E1423" s="3">
        <v>41932</v>
      </c>
      <c r="F1423" s="2" t="s">
        <v>5557</v>
      </c>
      <c r="G1423" s="2"/>
      <c r="H1423" s="2" t="s">
        <v>2573</v>
      </c>
      <c r="I1423" s="2" t="s">
        <v>2491</v>
      </c>
      <c r="J1423" s="2"/>
      <c r="K1423" s="2" t="str">
        <f>HYPERLINK("https://docs.wto.org/imrd/directdoc.asp?DDFDocuments/t/G/SPS/NBRA947A1.DOC")</f>
        <v>https://docs.wto.org/imrd/directdoc.asp?DDFDocuments/t/G/SPS/NBRA947A1.DOC</v>
      </c>
      <c r="L1423" s="2" t="str">
        <f>HYPERLINK("https://docs.wto.org/imrd/directdoc.asp?DDFDocuments/u/G/SPS/NBRA947A1.DOC")</f>
        <v>https://docs.wto.org/imrd/directdoc.asp?DDFDocuments/u/G/SPS/NBRA947A1.DOC</v>
      </c>
      <c r="M1423" s="2" t="str">
        <f>HYPERLINK("https://docs.wto.org/imrd/directdoc.asp?DDFDocuments/v/G/SPS/NBRA947A1.DOC")</f>
        <v>https://docs.wto.org/imrd/directdoc.asp?DDFDocuments/v/G/SPS/NBRA947A1.DOC</v>
      </c>
      <c r="N1423" s="2" t="str">
        <f>HYPERLINK("http://www.epingalert.org/#/details/G/SPS/N/BRA/947/Add.1")</f>
        <v>http://www.epingalert.org/#/details/G/SPS/N/BRA/947/Add.1</v>
      </c>
      <c r="O1423" s="2"/>
    </row>
    <row r="1424" spans="1:15" ht="240" customHeight="1" outlineLevel="1" x14ac:dyDescent="0.25">
      <c r="A1424" s="2" t="s">
        <v>42</v>
      </c>
      <c r="B1424" s="2" t="s">
        <v>5558</v>
      </c>
      <c r="C1424" s="2"/>
      <c r="D1424" s="2"/>
      <c r="E1424" s="3">
        <v>41932</v>
      </c>
      <c r="F1424" s="2" t="s">
        <v>5559</v>
      </c>
      <c r="G1424" s="2"/>
      <c r="H1424" s="2" t="s">
        <v>2573</v>
      </c>
      <c r="I1424" s="2" t="s">
        <v>2491</v>
      </c>
      <c r="J1424" s="2"/>
      <c r="K1424" s="2" t="str">
        <f>HYPERLINK("https://docs.wto.org/imrd/directdoc.asp?DDFDocuments/t/G/SPS/NBRA953A1.DOC")</f>
        <v>https://docs.wto.org/imrd/directdoc.asp?DDFDocuments/t/G/SPS/NBRA953A1.DOC</v>
      </c>
      <c r="L1424" s="2" t="str">
        <f>HYPERLINK("https://docs.wto.org/imrd/directdoc.asp?DDFDocuments/u/G/SPS/NBRA953A1.DOC")</f>
        <v>https://docs.wto.org/imrd/directdoc.asp?DDFDocuments/u/G/SPS/NBRA953A1.DOC</v>
      </c>
      <c r="M1424" s="2" t="str">
        <f>HYPERLINK("https://docs.wto.org/imrd/directdoc.asp?DDFDocuments/v/G/SPS/NBRA953A1.DOC")</f>
        <v>https://docs.wto.org/imrd/directdoc.asp?DDFDocuments/v/G/SPS/NBRA953A1.DOC</v>
      </c>
      <c r="N1424" s="2" t="str">
        <f>HYPERLINK("http://www.epingalert.org/#/details/G/SPS/N/BRA/953/Add.1")</f>
        <v>http://www.epingalert.org/#/details/G/SPS/N/BRA/953/Add.1</v>
      </c>
      <c r="O1424" s="2"/>
    </row>
    <row r="1425" spans="1:15" ht="240" customHeight="1" outlineLevel="1" x14ac:dyDescent="0.25">
      <c r="A1425" s="2" t="s">
        <v>42</v>
      </c>
      <c r="B1425" s="2" t="s">
        <v>5560</v>
      </c>
      <c r="C1425" s="2"/>
      <c r="D1425" s="2"/>
      <c r="E1425" s="3">
        <v>41932</v>
      </c>
      <c r="F1425" s="2" t="s">
        <v>5561</v>
      </c>
      <c r="G1425" s="2"/>
      <c r="H1425" s="2" t="s">
        <v>2573</v>
      </c>
      <c r="I1425" s="2" t="s">
        <v>2491</v>
      </c>
      <c r="J1425" s="2"/>
      <c r="K1425" s="2" t="str">
        <f>HYPERLINK("https://docs.wto.org/imrd/directdoc.asp?DDFDocuments/t/G/SPS/NBRA956A1.DOC")</f>
        <v>https://docs.wto.org/imrd/directdoc.asp?DDFDocuments/t/G/SPS/NBRA956A1.DOC</v>
      </c>
      <c r="L1425" s="2" t="str">
        <f>HYPERLINK("https://docs.wto.org/imrd/directdoc.asp?DDFDocuments/u/G/SPS/NBRA956A1.DOC")</f>
        <v>https://docs.wto.org/imrd/directdoc.asp?DDFDocuments/u/G/SPS/NBRA956A1.DOC</v>
      </c>
      <c r="M1425" s="2" t="str">
        <f>HYPERLINK("https://docs.wto.org/imrd/directdoc.asp?DDFDocuments/v/G/SPS/NBRA956A1.DOC")</f>
        <v>https://docs.wto.org/imrd/directdoc.asp?DDFDocuments/v/G/SPS/NBRA956A1.DOC</v>
      </c>
      <c r="N1425" s="2" t="str">
        <f>HYPERLINK("http://www.epingalert.org/#/details/G/SPS/N/BRA/956/Add.1")</f>
        <v>http://www.epingalert.org/#/details/G/SPS/N/BRA/956/Add.1</v>
      </c>
      <c r="O1425" s="2"/>
    </row>
    <row r="1426" spans="1:15" ht="240" customHeight="1" outlineLevel="1" x14ac:dyDescent="0.25">
      <c r="A1426" s="2" t="s">
        <v>42</v>
      </c>
      <c r="B1426" s="2" t="s">
        <v>5562</v>
      </c>
      <c r="C1426" s="2"/>
      <c r="D1426" s="2"/>
      <c r="E1426" s="3">
        <v>41932</v>
      </c>
      <c r="F1426" s="2" t="s">
        <v>5563</v>
      </c>
      <c r="G1426" s="2"/>
      <c r="H1426" s="2" t="s">
        <v>2573</v>
      </c>
      <c r="I1426" s="2" t="s">
        <v>2491</v>
      </c>
      <c r="J1426" s="2"/>
      <c r="K1426" s="2" t="str">
        <f>HYPERLINK("https://docs.wto.org/imrd/directdoc.asp?DDFDocuments/t/G/SPS/NBRA955A1.DOC")</f>
        <v>https://docs.wto.org/imrd/directdoc.asp?DDFDocuments/t/G/SPS/NBRA955A1.DOC</v>
      </c>
      <c r="L1426" s="2" t="str">
        <f>HYPERLINK("https://docs.wto.org/imrd/directdoc.asp?DDFDocuments/u/G/SPS/NBRA955A1.DOC")</f>
        <v>https://docs.wto.org/imrd/directdoc.asp?DDFDocuments/u/G/SPS/NBRA955A1.DOC</v>
      </c>
      <c r="M1426" s="2" t="str">
        <f>HYPERLINK("https://docs.wto.org/imrd/directdoc.asp?DDFDocuments/v/G/SPS/NBRA955A1.DOC")</f>
        <v>https://docs.wto.org/imrd/directdoc.asp?DDFDocuments/v/G/SPS/NBRA955A1.DOC</v>
      </c>
      <c r="N1426" s="2" t="str">
        <f>HYPERLINK("http://www.epingalert.org/#/details/G/SPS/N/BRA/955/Add.1")</f>
        <v>http://www.epingalert.org/#/details/G/SPS/N/BRA/955/Add.1</v>
      </c>
      <c r="O1426" s="2"/>
    </row>
    <row r="1427" spans="1:15" ht="240" customHeight="1" outlineLevel="1" x14ac:dyDescent="0.25">
      <c r="A1427" s="2" t="s">
        <v>42</v>
      </c>
      <c r="B1427" s="2" t="s">
        <v>5564</v>
      </c>
      <c r="C1427" s="2"/>
      <c r="D1427" s="2"/>
      <c r="E1427" s="3">
        <v>41932</v>
      </c>
      <c r="F1427" s="2" t="s">
        <v>5565</v>
      </c>
      <c r="G1427" s="2"/>
      <c r="H1427" s="2" t="s">
        <v>2573</v>
      </c>
      <c r="I1427" s="2" t="s">
        <v>2491</v>
      </c>
      <c r="J1427" s="2"/>
      <c r="K1427" s="2" t="str">
        <f>HYPERLINK("https://docs.wto.org/imrd/directdoc.asp?DDFDocuments/t/G/SPS/NBRA958A1.DOC")</f>
        <v>https://docs.wto.org/imrd/directdoc.asp?DDFDocuments/t/G/SPS/NBRA958A1.DOC</v>
      </c>
      <c r="L1427" s="2" t="str">
        <f>HYPERLINK("https://docs.wto.org/imrd/directdoc.asp?DDFDocuments/u/G/SPS/NBRA958A1.DOC")</f>
        <v>https://docs.wto.org/imrd/directdoc.asp?DDFDocuments/u/G/SPS/NBRA958A1.DOC</v>
      </c>
      <c r="M1427" s="2" t="str">
        <f>HYPERLINK("https://docs.wto.org/imrd/directdoc.asp?DDFDocuments/v/G/SPS/NBRA958A1.DOC")</f>
        <v>https://docs.wto.org/imrd/directdoc.asp?DDFDocuments/v/G/SPS/NBRA958A1.DOC</v>
      </c>
      <c r="N1427" s="2" t="str">
        <f>HYPERLINK("http://www.epingalert.org/#/details/G/SPS/N/BRA/958/Add.1")</f>
        <v>http://www.epingalert.org/#/details/G/SPS/N/BRA/958/Add.1</v>
      </c>
      <c r="O1427" s="2"/>
    </row>
    <row r="1428" spans="1:15" ht="240" customHeight="1" outlineLevel="1" x14ac:dyDescent="0.25">
      <c r="A1428" s="2" t="s">
        <v>42</v>
      </c>
      <c r="B1428" s="2" t="s">
        <v>5566</v>
      </c>
      <c r="C1428" s="2"/>
      <c r="D1428" s="2"/>
      <c r="E1428" s="3">
        <v>41929</v>
      </c>
      <c r="F1428" s="2" t="s">
        <v>5567</v>
      </c>
      <c r="G1428" s="2"/>
      <c r="H1428" s="2" t="s">
        <v>2573</v>
      </c>
      <c r="I1428" s="2" t="s">
        <v>2491</v>
      </c>
      <c r="J1428" s="2"/>
      <c r="K1428" s="2" t="str">
        <f>HYPERLINK("https://docs.wto.org/imrd/directdoc.asp?DDFDocuments/t/G/SPS/NBRA985A1.DOC")</f>
        <v>https://docs.wto.org/imrd/directdoc.asp?DDFDocuments/t/G/SPS/NBRA985A1.DOC</v>
      </c>
      <c r="L1428" s="2" t="str">
        <f>HYPERLINK("https://docs.wto.org/imrd/directdoc.asp?DDFDocuments/u/G/SPS/NBRA985A1.DOC")</f>
        <v>https://docs.wto.org/imrd/directdoc.asp?DDFDocuments/u/G/SPS/NBRA985A1.DOC</v>
      </c>
      <c r="M1428" s="2" t="str">
        <f>HYPERLINK("https://docs.wto.org/imrd/directdoc.asp?DDFDocuments/v/G/SPS/NBRA985A1.DOC")</f>
        <v>https://docs.wto.org/imrd/directdoc.asp?DDFDocuments/v/G/SPS/NBRA985A1.DOC</v>
      </c>
      <c r="N1428" s="2" t="str">
        <f>HYPERLINK("http://www.epingalert.org/#/details/G/SPS/N/BRA/985/Add.1")</f>
        <v>http://www.epingalert.org/#/details/G/SPS/N/BRA/985/Add.1</v>
      </c>
      <c r="O1428" s="2"/>
    </row>
    <row r="1429" spans="1:15" ht="240" customHeight="1" outlineLevel="1" x14ac:dyDescent="0.25">
      <c r="A1429" s="2" t="s">
        <v>42</v>
      </c>
      <c r="B1429" s="2" t="s">
        <v>5568</v>
      </c>
      <c r="C1429" s="2"/>
      <c r="D1429" s="2"/>
      <c r="E1429" s="3">
        <v>41929</v>
      </c>
      <c r="F1429" s="2" t="s">
        <v>5569</v>
      </c>
      <c r="G1429" s="2"/>
      <c r="H1429" s="2" t="s">
        <v>2573</v>
      </c>
      <c r="I1429" s="2" t="s">
        <v>2491</v>
      </c>
      <c r="J1429" s="2"/>
      <c r="K1429" s="2" t="str">
        <f>HYPERLINK("https://docs.wto.org/imrd/directdoc.asp?DDFDocuments/t/G/SPS/NBRA982A1.DOC")</f>
        <v>https://docs.wto.org/imrd/directdoc.asp?DDFDocuments/t/G/SPS/NBRA982A1.DOC</v>
      </c>
      <c r="L1429" s="2" t="str">
        <f>HYPERLINK("https://docs.wto.org/imrd/directdoc.asp?DDFDocuments/u/G/SPS/NBRA982A1.DOC")</f>
        <v>https://docs.wto.org/imrd/directdoc.asp?DDFDocuments/u/G/SPS/NBRA982A1.DOC</v>
      </c>
      <c r="M1429" s="2" t="str">
        <f>HYPERLINK("https://docs.wto.org/imrd/directdoc.asp?DDFDocuments/v/G/SPS/NBRA982A1.DOC")</f>
        <v>https://docs.wto.org/imrd/directdoc.asp?DDFDocuments/v/G/SPS/NBRA982A1.DOC</v>
      </c>
      <c r="N1429" s="2" t="str">
        <f>HYPERLINK("http://www.epingalert.org/#/details/G/SPS/N/BRA/982/Add.1")</f>
        <v>http://www.epingalert.org/#/details/G/SPS/N/BRA/982/Add.1</v>
      </c>
      <c r="O1429" s="2"/>
    </row>
    <row r="1430" spans="1:15" ht="240" customHeight="1" outlineLevel="1" x14ac:dyDescent="0.25">
      <c r="A1430" s="2" t="s">
        <v>42</v>
      </c>
      <c r="B1430" s="2" t="s">
        <v>5570</v>
      </c>
      <c r="C1430" s="2"/>
      <c r="D1430" s="2"/>
      <c r="E1430" s="3">
        <v>41929</v>
      </c>
      <c r="F1430" s="2" t="s">
        <v>5571</v>
      </c>
      <c r="G1430" s="2"/>
      <c r="H1430" s="2" t="s">
        <v>2573</v>
      </c>
      <c r="I1430" s="2" t="s">
        <v>2491</v>
      </c>
      <c r="J1430" s="2"/>
      <c r="K1430" s="2" t="str">
        <f>HYPERLINK("https://docs.wto.org/imrd/directdoc.asp?DDFDocuments/t/G/SPS/NBRA967A1.DOC")</f>
        <v>https://docs.wto.org/imrd/directdoc.asp?DDFDocuments/t/G/SPS/NBRA967A1.DOC</v>
      </c>
      <c r="L1430" s="2" t="str">
        <f>HYPERLINK("https://docs.wto.org/imrd/directdoc.asp?DDFDocuments/u/G/SPS/NBRA967A1.DOC")</f>
        <v>https://docs.wto.org/imrd/directdoc.asp?DDFDocuments/u/G/SPS/NBRA967A1.DOC</v>
      </c>
      <c r="M1430" s="2" t="str">
        <f>HYPERLINK("https://docs.wto.org/imrd/directdoc.asp?DDFDocuments/v/G/SPS/NBRA967A1.DOC")</f>
        <v>https://docs.wto.org/imrd/directdoc.asp?DDFDocuments/v/G/SPS/NBRA967A1.DOC</v>
      </c>
      <c r="N1430" s="2" t="str">
        <f>HYPERLINK("http://www.epingalert.org/#/details/G/SPS/N/BRA/967/Add.1")</f>
        <v>http://www.epingalert.org/#/details/G/SPS/N/BRA/967/Add.1</v>
      </c>
      <c r="O1430" s="2"/>
    </row>
    <row r="1431" spans="1:15" ht="240" customHeight="1" outlineLevel="1" x14ac:dyDescent="0.25">
      <c r="A1431" s="2" t="s">
        <v>42</v>
      </c>
      <c r="B1431" s="2" t="s">
        <v>5572</v>
      </c>
      <c r="C1431" s="2"/>
      <c r="D1431" s="2"/>
      <c r="E1431" s="3">
        <v>41929</v>
      </c>
      <c r="F1431" s="2" t="s">
        <v>5573</v>
      </c>
      <c r="G1431" s="2"/>
      <c r="H1431" s="2" t="s">
        <v>2573</v>
      </c>
      <c r="I1431" s="2" t="s">
        <v>2491</v>
      </c>
      <c r="J1431" s="2"/>
      <c r="K1431" s="2" t="str">
        <f>HYPERLINK("https://docs.wto.org/imrd/directdoc.asp?DDFDocuments/t/G/SPS/NBRA970A1.DOC")</f>
        <v>https://docs.wto.org/imrd/directdoc.asp?DDFDocuments/t/G/SPS/NBRA970A1.DOC</v>
      </c>
      <c r="L1431" s="2" t="str">
        <f>HYPERLINK("https://docs.wto.org/imrd/directdoc.asp?DDFDocuments/u/G/SPS/NBRA970A1.DOC")</f>
        <v>https://docs.wto.org/imrd/directdoc.asp?DDFDocuments/u/G/SPS/NBRA970A1.DOC</v>
      </c>
      <c r="M1431" s="2" t="str">
        <f>HYPERLINK("https://docs.wto.org/imrd/directdoc.asp?DDFDocuments/v/G/SPS/NBRA970A1.DOC")</f>
        <v>https://docs.wto.org/imrd/directdoc.asp?DDFDocuments/v/G/SPS/NBRA970A1.DOC</v>
      </c>
      <c r="N1431" s="2" t="str">
        <f>HYPERLINK("http://www.epingalert.org/#/details/G/SPS/N/BRA/970/Add.1")</f>
        <v>http://www.epingalert.org/#/details/G/SPS/N/BRA/970/Add.1</v>
      </c>
      <c r="O1431" s="2"/>
    </row>
    <row r="1432" spans="1:15" ht="240" customHeight="1" outlineLevel="1" x14ac:dyDescent="0.25">
      <c r="A1432" s="2" t="s">
        <v>42</v>
      </c>
      <c r="B1432" s="2" t="s">
        <v>5574</v>
      </c>
      <c r="C1432" s="2"/>
      <c r="D1432" s="2"/>
      <c r="E1432" s="3">
        <v>41929</v>
      </c>
      <c r="F1432" s="2" t="s">
        <v>5575</v>
      </c>
      <c r="G1432" s="2"/>
      <c r="H1432" s="2" t="s">
        <v>2573</v>
      </c>
      <c r="I1432" s="2" t="s">
        <v>2491</v>
      </c>
      <c r="J1432" s="2"/>
      <c r="K1432" s="2" t="str">
        <f>HYPERLINK("https://docs.wto.org/imrd/directdoc.asp?DDFDocuments/t/G/SPS/NBRA957A1.DOC")</f>
        <v>https://docs.wto.org/imrd/directdoc.asp?DDFDocuments/t/G/SPS/NBRA957A1.DOC</v>
      </c>
      <c r="L1432" s="2" t="str">
        <f>HYPERLINK("https://docs.wto.org/imrd/directdoc.asp?DDFDocuments/u/G/SPS/NBRA957A1.DOC")</f>
        <v>https://docs.wto.org/imrd/directdoc.asp?DDFDocuments/u/G/SPS/NBRA957A1.DOC</v>
      </c>
      <c r="M1432" s="2" t="str">
        <f>HYPERLINK("https://docs.wto.org/imrd/directdoc.asp?DDFDocuments/v/G/SPS/NBRA957A1.DOC")</f>
        <v>https://docs.wto.org/imrd/directdoc.asp?DDFDocuments/v/G/SPS/NBRA957A1.DOC</v>
      </c>
      <c r="N1432" s="2" t="str">
        <f>HYPERLINK("http://www.epingalert.org/#/details/G/SPS/N/BRA/957/Add.1")</f>
        <v>http://www.epingalert.org/#/details/G/SPS/N/BRA/957/Add.1</v>
      </c>
      <c r="O1432" s="2"/>
    </row>
    <row r="1433" spans="1:15" ht="240" customHeight="1" outlineLevel="1" x14ac:dyDescent="0.25">
      <c r="A1433" s="2" t="s">
        <v>42</v>
      </c>
      <c r="B1433" s="2" t="s">
        <v>5576</v>
      </c>
      <c r="C1433" s="2"/>
      <c r="D1433" s="2"/>
      <c r="E1433" s="3">
        <v>41929</v>
      </c>
      <c r="F1433" s="2" t="s">
        <v>5577</v>
      </c>
      <c r="G1433" s="2"/>
      <c r="H1433" s="2" t="s">
        <v>2573</v>
      </c>
      <c r="I1433" s="2" t="s">
        <v>2491</v>
      </c>
      <c r="J1433" s="2"/>
      <c r="K1433" s="2" t="str">
        <f>HYPERLINK("https://docs.wto.org/imrd/directdoc.asp?DDFDocuments/t/G/SPS/NBRA968A1.DOC")</f>
        <v>https://docs.wto.org/imrd/directdoc.asp?DDFDocuments/t/G/SPS/NBRA968A1.DOC</v>
      </c>
      <c r="L1433" s="2" t="str">
        <f>HYPERLINK("https://docs.wto.org/imrd/directdoc.asp?DDFDocuments/u/G/SPS/NBRA968A1.DOC")</f>
        <v>https://docs.wto.org/imrd/directdoc.asp?DDFDocuments/u/G/SPS/NBRA968A1.DOC</v>
      </c>
      <c r="M1433" s="2" t="str">
        <f>HYPERLINK("https://docs.wto.org/imrd/directdoc.asp?DDFDocuments/v/G/SPS/NBRA968A1.DOC")</f>
        <v>https://docs.wto.org/imrd/directdoc.asp?DDFDocuments/v/G/SPS/NBRA968A1.DOC</v>
      </c>
      <c r="N1433" s="2" t="str">
        <f>HYPERLINK("http://www.epingalert.org/#/details/G/SPS/N/BRA/968/Add.1")</f>
        <v>http://www.epingalert.org/#/details/G/SPS/N/BRA/968/Add.1</v>
      </c>
      <c r="O1433" s="2"/>
    </row>
    <row r="1434" spans="1:15" ht="240" customHeight="1" outlineLevel="1" x14ac:dyDescent="0.25">
      <c r="A1434" s="2" t="s">
        <v>42</v>
      </c>
      <c r="B1434" s="2" t="s">
        <v>5578</v>
      </c>
      <c r="C1434" s="2"/>
      <c r="D1434" s="2"/>
      <c r="E1434" s="3">
        <v>41929</v>
      </c>
      <c r="F1434" s="2" t="s">
        <v>5579</v>
      </c>
      <c r="G1434" s="2"/>
      <c r="H1434" s="2" t="s">
        <v>2573</v>
      </c>
      <c r="I1434" s="2" t="s">
        <v>2491</v>
      </c>
      <c r="J1434" s="2"/>
      <c r="K1434" s="2" t="str">
        <f>HYPERLINK("https://docs.wto.org/imrd/directdoc.asp?DDFDocuments/t/G/SPS/NBRA943A1.DOC")</f>
        <v>https://docs.wto.org/imrd/directdoc.asp?DDFDocuments/t/G/SPS/NBRA943A1.DOC</v>
      </c>
      <c r="L1434" s="2" t="str">
        <f>HYPERLINK("https://docs.wto.org/imrd/directdoc.asp?DDFDocuments/u/G/SPS/NBRA943A1.DOC")</f>
        <v>https://docs.wto.org/imrd/directdoc.asp?DDFDocuments/u/G/SPS/NBRA943A1.DOC</v>
      </c>
      <c r="M1434" s="2" t="str">
        <f>HYPERLINK("https://docs.wto.org/imrd/directdoc.asp?DDFDocuments/v/G/SPS/NBRA943A1.DOC")</f>
        <v>https://docs.wto.org/imrd/directdoc.asp?DDFDocuments/v/G/SPS/NBRA943A1.DOC</v>
      </c>
      <c r="N1434" s="2" t="str">
        <f>HYPERLINK("http://www.epingalert.org/#/details/G/SPS/N/BRA/943/Add.1")</f>
        <v>http://www.epingalert.org/#/details/G/SPS/N/BRA/943/Add.1</v>
      </c>
      <c r="O1434" s="2"/>
    </row>
    <row r="1435" spans="1:15" ht="240" customHeight="1" outlineLevel="1" x14ac:dyDescent="0.25">
      <c r="A1435" s="2" t="s">
        <v>42</v>
      </c>
      <c r="B1435" s="2" t="s">
        <v>5584</v>
      </c>
      <c r="C1435" s="2" t="s">
        <v>5585</v>
      </c>
      <c r="D1435" s="2" t="s">
        <v>5586</v>
      </c>
      <c r="E1435" s="3">
        <v>41925</v>
      </c>
      <c r="F1435" s="2" t="s">
        <v>5587</v>
      </c>
      <c r="G1435" s="2"/>
      <c r="H1435" s="2" t="s">
        <v>2573</v>
      </c>
      <c r="I1435" s="2" t="s">
        <v>2453</v>
      </c>
      <c r="J1435" s="3">
        <v>41942</v>
      </c>
      <c r="K1435" s="2" t="str">
        <f>HYPERLINK("https://docs.wto.org/imrd/directdoc.asp?DDFDocuments/t/G/SPS/NBRA985.DOC")</f>
        <v>https://docs.wto.org/imrd/directdoc.asp?DDFDocuments/t/G/SPS/NBRA985.DOC</v>
      </c>
      <c r="L1435" s="2" t="str">
        <f>HYPERLINK("https://docs.wto.org/imrd/directdoc.asp?DDFDocuments/u/G/SPS/NBRA985.DOC")</f>
        <v>https://docs.wto.org/imrd/directdoc.asp?DDFDocuments/u/G/SPS/NBRA985.DOC</v>
      </c>
      <c r="M1435" s="2" t="str">
        <f>HYPERLINK("https://docs.wto.org/imrd/directdoc.asp?DDFDocuments/v/G/SPS/NBRA985.DOC")</f>
        <v>https://docs.wto.org/imrd/directdoc.asp?DDFDocuments/v/G/SPS/NBRA985.DOC</v>
      </c>
      <c r="N1435" s="2" t="str">
        <f>HYPERLINK("http://www.epingalert.org/#/details/G/SPS/N/BRA/985")</f>
        <v>http://www.epingalert.org/#/details/G/SPS/N/BRA/985</v>
      </c>
      <c r="O1435" s="2"/>
    </row>
    <row r="1436" spans="1:15" ht="240" customHeight="1" outlineLevel="1" x14ac:dyDescent="0.25">
      <c r="A1436" s="2" t="s">
        <v>42</v>
      </c>
      <c r="B1436" s="2" t="s">
        <v>5588</v>
      </c>
      <c r="C1436" s="2" t="s">
        <v>5589</v>
      </c>
      <c r="D1436" s="2" t="s">
        <v>5569</v>
      </c>
      <c r="E1436" s="3">
        <v>41925</v>
      </c>
      <c r="F1436" s="2" t="s">
        <v>5569</v>
      </c>
      <c r="G1436" s="2"/>
      <c r="H1436" s="2" t="s">
        <v>2573</v>
      </c>
      <c r="I1436" s="2" t="s">
        <v>2453</v>
      </c>
      <c r="J1436" s="3">
        <v>41942</v>
      </c>
      <c r="K1436" s="2" t="str">
        <f>HYPERLINK("https://docs.wto.org/imrd/directdoc.asp?DDFDocuments/t/G/SPS/NBRA982.DOC")</f>
        <v>https://docs.wto.org/imrd/directdoc.asp?DDFDocuments/t/G/SPS/NBRA982.DOC</v>
      </c>
      <c r="L1436" s="2" t="str">
        <f>HYPERLINK("https://docs.wto.org/imrd/directdoc.asp?DDFDocuments/u/G/SPS/NBRA982.DOC")</f>
        <v>https://docs.wto.org/imrd/directdoc.asp?DDFDocuments/u/G/SPS/NBRA982.DOC</v>
      </c>
      <c r="M1436" s="2" t="str">
        <f>HYPERLINK("https://docs.wto.org/imrd/directdoc.asp?DDFDocuments/v/G/SPS/NBRA982.DOC")</f>
        <v>https://docs.wto.org/imrd/directdoc.asp?DDFDocuments/v/G/SPS/NBRA982.DOC</v>
      </c>
      <c r="N1436" s="2" t="str">
        <f>HYPERLINK("http://www.epingalert.org/#/details/G/SPS/N/BRA/982")</f>
        <v>http://www.epingalert.org/#/details/G/SPS/N/BRA/982</v>
      </c>
      <c r="O1436" s="2"/>
    </row>
    <row r="1437" spans="1:15" ht="240" customHeight="1" outlineLevel="1" x14ac:dyDescent="0.25">
      <c r="A1437" s="2" t="s">
        <v>42</v>
      </c>
      <c r="B1437" s="2" t="s">
        <v>5590</v>
      </c>
      <c r="C1437" s="2" t="s">
        <v>5591</v>
      </c>
      <c r="D1437" s="2" t="s">
        <v>5592</v>
      </c>
      <c r="E1437" s="3">
        <v>41925</v>
      </c>
      <c r="F1437" s="2" t="s">
        <v>5593</v>
      </c>
      <c r="G1437" s="2"/>
      <c r="H1437" s="2" t="s">
        <v>2573</v>
      </c>
      <c r="I1437" s="2" t="s">
        <v>5594</v>
      </c>
      <c r="J1437" s="3">
        <v>41942</v>
      </c>
      <c r="K1437" s="2" t="str">
        <f>HYPERLINK("https://docs.wto.org/imrd/directdoc.asp?DDFDocuments/t/G/SPS/NBRA981.DOC")</f>
        <v>https://docs.wto.org/imrd/directdoc.asp?DDFDocuments/t/G/SPS/NBRA981.DOC</v>
      </c>
      <c r="L1437" s="2" t="str">
        <f>HYPERLINK("https://docs.wto.org/imrd/directdoc.asp?DDFDocuments/u/G/SPS/NBRA981.DOC")</f>
        <v>https://docs.wto.org/imrd/directdoc.asp?DDFDocuments/u/G/SPS/NBRA981.DOC</v>
      </c>
      <c r="M1437" s="2" t="str">
        <f>HYPERLINK("https://docs.wto.org/imrd/directdoc.asp?DDFDocuments/v/G/SPS/NBRA981.DOC")</f>
        <v>https://docs.wto.org/imrd/directdoc.asp?DDFDocuments/v/G/SPS/NBRA981.DOC</v>
      </c>
      <c r="N1437" s="2" t="str">
        <f>HYPERLINK("http://www.epingalert.org/#/details/G/SPS/N/BRA/981")</f>
        <v>http://www.epingalert.org/#/details/G/SPS/N/BRA/981</v>
      </c>
      <c r="O1437" s="2"/>
    </row>
    <row r="1438" spans="1:15" ht="240" customHeight="1" outlineLevel="1" x14ac:dyDescent="0.25">
      <c r="A1438" s="2" t="s">
        <v>42</v>
      </c>
      <c r="B1438" s="2" t="s">
        <v>5595</v>
      </c>
      <c r="C1438" s="2" t="s">
        <v>5596</v>
      </c>
      <c r="D1438" s="2" t="s">
        <v>5597</v>
      </c>
      <c r="E1438" s="3">
        <v>41925</v>
      </c>
      <c r="F1438" s="2" t="s">
        <v>5597</v>
      </c>
      <c r="G1438" s="2"/>
      <c r="H1438" s="2" t="s">
        <v>2573</v>
      </c>
      <c r="I1438" s="2" t="s">
        <v>2453</v>
      </c>
      <c r="J1438" s="3">
        <v>41942</v>
      </c>
      <c r="K1438" s="2" t="str">
        <f>HYPERLINK("https://docs.wto.org/imrd/directdoc.asp?DDFDocuments/t/G/SPS/NBRA989.DOC")</f>
        <v>https://docs.wto.org/imrd/directdoc.asp?DDFDocuments/t/G/SPS/NBRA989.DOC</v>
      </c>
      <c r="L1438" s="2" t="str">
        <f>HYPERLINK("https://docs.wto.org/imrd/directdoc.asp?DDFDocuments/u/G/SPS/NBRA989.DOC")</f>
        <v>https://docs.wto.org/imrd/directdoc.asp?DDFDocuments/u/G/SPS/NBRA989.DOC</v>
      </c>
      <c r="M1438" s="2" t="str">
        <f>HYPERLINK("https://docs.wto.org/imrd/directdoc.asp?DDFDocuments/v/G/SPS/NBRA989.DOC")</f>
        <v>https://docs.wto.org/imrd/directdoc.asp?DDFDocuments/v/G/SPS/NBRA989.DOC</v>
      </c>
      <c r="N1438" s="2" t="str">
        <f>HYPERLINK("http://www.epingalert.org/#/details/G/SPS/N/BRA/989")</f>
        <v>http://www.epingalert.org/#/details/G/SPS/N/BRA/989</v>
      </c>
      <c r="O1438" s="2"/>
    </row>
    <row r="1439" spans="1:15" ht="240" customHeight="1" outlineLevel="1" x14ac:dyDescent="0.25">
      <c r="A1439" s="2" t="s">
        <v>42</v>
      </c>
      <c r="B1439" s="2" t="s">
        <v>5598</v>
      </c>
      <c r="C1439" s="2" t="s">
        <v>5599</v>
      </c>
      <c r="D1439" s="2" t="s">
        <v>5600</v>
      </c>
      <c r="E1439" s="3">
        <v>41925</v>
      </c>
      <c r="F1439" s="2" t="s">
        <v>5601</v>
      </c>
      <c r="G1439" s="2"/>
      <c r="H1439" s="2" t="s">
        <v>2573</v>
      </c>
      <c r="I1439" s="2" t="s">
        <v>2453</v>
      </c>
      <c r="J1439" s="3">
        <v>41942</v>
      </c>
      <c r="K1439" s="2" t="str">
        <f>HYPERLINK("https://docs.wto.org/imrd/directdoc.asp?DDFDocuments/t/G/SPS/NBRA987.DOC")</f>
        <v>https://docs.wto.org/imrd/directdoc.asp?DDFDocuments/t/G/SPS/NBRA987.DOC</v>
      </c>
      <c r="L1439" s="2" t="str">
        <f>HYPERLINK("https://docs.wto.org/imrd/directdoc.asp?DDFDocuments/u/G/SPS/NBRA987.DOC")</f>
        <v>https://docs.wto.org/imrd/directdoc.asp?DDFDocuments/u/G/SPS/NBRA987.DOC</v>
      </c>
      <c r="M1439" s="2" t="str">
        <f>HYPERLINK("https://docs.wto.org/imrd/directdoc.asp?DDFDocuments/v/G/SPS/NBRA987.DOC")</f>
        <v>https://docs.wto.org/imrd/directdoc.asp?DDFDocuments/v/G/SPS/NBRA987.DOC</v>
      </c>
      <c r="N1439" s="2" t="str">
        <f>HYPERLINK("http://www.epingalert.org/#/details/G/SPS/N/BRA/987")</f>
        <v>http://www.epingalert.org/#/details/G/SPS/N/BRA/987</v>
      </c>
      <c r="O1439" s="2"/>
    </row>
    <row r="1440" spans="1:15" ht="240" customHeight="1" outlineLevel="1" x14ac:dyDescent="0.25">
      <c r="A1440" s="2" t="s">
        <v>42</v>
      </c>
      <c r="B1440" s="2" t="s">
        <v>5602</v>
      </c>
      <c r="C1440" s="2" t="s">
        <v>5603</v>
      </c>
      <c r="D1440" s="2" t="s">
        <v>5604</v>
      </c>
      <c r="E1440" s="3">
        <v>41925</v>
      </c>
      <c r="F1440" s="2" t="s">
        <v>5605</v>
      </c>
      <c r="G1440" s="2"/>
      <c r="H1440" s="2" t="s">
        <v>2573</v>
      </c>
      <c r="I1440" s="2" t="s">
        <v>5594</v>
      </c>
      <c r="J1440" s="3">
        <v>41942</v>
      </c>
      <c r="K1440" s="2" t="str">
        <f>HYPERLINK("https://docs.wto.org/imrd/directdoc.asp?DDFDocuments/t/G/SPS/NBRA986.DOC")</f>
        <v>https://docs.wto.org/imrd/directdoc.asp?DDFDocuments/t/G/SPS/NBRA986.DOC</v>
      </c>
      <c r="L1440" s="2" t="str">
        <f>HYPERLINK("https://docs.wto.org/imrd/directdoc.asp?DDFDocuments/u/G/SPS/NBRA986.DOC")</f>
        <v>https://docs.wto.org/imrd/directdoc.asp?DDFDocuments/u/G/SPS/NBRA986.DOC</v>
      </c>
      <c r="M1440" s="2" t="str">
        <f>HYPERLINK("https://docs.wto.org/imrd/directdoc.asp?DDFDocuments/v/G/SPS/NBRA986.DOC")</f>
        <v>https://docs.wto.org/imrd/directdoc.asp?DDFDocuments/v/G/SPS/NBRA986.DOC</v>
      </c>
      <c r="N1440" s="2" t="str">
        <f>HYPERLINK("http://www.epingalert.org/#/details/G/SPS/N/BRA/986")</f>
        <v>http://www.epingalert.org/#/details/G/SPS/N/BRA/986</v>
      </c>
      <c r="O1440" s="2"/>
    </row>
    <row r="1441" spans="1:15" ht="240" customHeight="1" outlineLevel="1" x14ac:dyDescent="0.25">
      <c r="A1441" s="2" t="s">
        <v>42</v>
      </c>
      <c r="B1441" s="2" t="s">
        <v>5606</v>
      </c>
      <c r="C1441" s="2" t="s">
        <v>5607</v>
      </c>
      <c r="D1441" s="2" t="s">
        <v>5608</v>
      </c>
      <c r="E1441" s="3">
        <v>41925</v>
      </c>
      <c r="F1441" s="2" t="s">
        <v>5609</v>
      </c>
      <c r="G1441" s="2"/>
      <c r="H1441" s="2" t="s">
        <v>2573</v>
      </c>
      <c r="I1441" s="2" t="s">
        <v>2453</v>
      </c>
      <c r="J1441" s="3">
        <v>41942</v>
      </c>
      <c r="K1441" s="2" t="str">
        <f>HYPERLINK("https://docs.wto.org/imrd/directdoc.asp?DDFDocuments/t/G/SPS/NBRA996.DOC")</f>
        <v>https://docs.wto.org/imrd/directdoc.asp?DDFDocuments/t/G/SPS/NBRA996.DOC</v>
      </c>
      <c r="L1441" s="2" t="str">
        <f>HYPERLINK("https://docs.wto.org/imrd/directdoc.asp?DDFDocuments/u/G/SPS/NBRA996.DOC")</f>
        <v>https://docs.wto.org/imrd/directdoc.asp?DDFDocuments/u/G/SPS/NBRA996.DOC</v>
      </c>
      <c r="M1441" s="2" t="str">
        <f>HYPERLINK("https://docs.wto.org/imrd/directdoc.asp?DDFDocuments/v/G/SPS/NBRA996.DOC")</f>
        <v>https://docs.wto.org/imrd/directdoc.asp?DDFDocuments/v/G/SPS/NBRA996.DOC</v>
      </c>
      <c r="N1441" s="2" t="str">
        <f>HYPERLINK("http://www.epingalert.org/#/details/G/SPS/N/BRA/996")</f>
        <v>http://www.epingalert.org/#/details/G/SPS/N/BRA/996</v>
      </c>
      <c r="O1441" s="2"/>
    </row>
    <row r="1442" spans="1:15" ht="240" customHeight="1" outlineLevel="1" x14ac:dyDescent="0.25">
      <c r="A1442" s="2" t="s">
        <v>42</v>
      </c>
      <c r="B1442" s="2" t="s">
        <v>5610</v>
      </c>
      <c r="C1442" s="2" t="s">
        <v>5611</v>
      </c>
      <c r="D1442" s="2" t="s">
        <v>5612</v>
      </c>
      <c r="E1442" s="3">
        <v>41925</v>
      </c>
      <c r="F1442" s="2" t="s">
        <v>5613</v>
      </c>
      <c r="G1442" s="2"/>
      <c r="H1442" s="2" t="s">
        <v>2573</v>
      </c>
      <c r="I1442" s="2" t="s">
        <v>2453</v>
      </c>
      <c r="J1442" s="3">
        <v>41942</v>
      </c>
      <c r="K1442" s="2" t="str">
        <f>HYPERLINK("https://docs.wto.org/imrd/directdoc.asp?DDFDocuments/t/G/SPS/NBRA995.DOC")</f>
        <v>https://docs.wto.org/imrd/directdoc.asp?DDFDocuments/t/G/SPS/NBRA995.DOC</v>
      </c>
      <c r="L1442" s="2" t="str">
        <f>HYPERLINK("https://docs.wto.org/imrd/directdoc.asp?DDFDocuments/u/G/SPS/NBRA995.DOC")</f>
        <v>https://docs.wto.org/imrd/directdoc.asp?DDFDocuments/u/G/SPS/NBRA995.DOC</v>
      </c>
      <c r="M1442" s="2" t="str">
        <f>HYPERLINK("https://docs.wto.org/imrd/directdoc.asp?DDFDocuments/v/G/SPS/NBRA995.DOC")</f>
        <v>https://docs.wto.org/imrd/directdoc.asp?DDFDocuments/v/G/SPS/NBRA995.DOC</v>
      </c>
      <c r="N1442" s="2" t="str">
        <f>HYPERLINK("http://www.epingalert.org/#/details/G/SPS/N/BRA/995")</f>
        <v>http://www.epingalert.org/#/details/G/SPS/N/BRA/995</v>
      </c>
      <c r="O1442" s="2"/>
    </row>
    <row r="1443" spans="1:15" ht="240" customHeight="1" outlineLevel="1" x14ac:dyDescent="0.25">
      <c r="A1443" s="2" t="s">
        <v>42</v>
      </c>
      <c r="B1443" s="2" t="s">
        <v>5614</v>
      </c>
      <c r="C1443" s="2" t="s">
        <v>5615</v>
      </c>
      <c r="D1443" s="2" t="s">
        <v>5616</v>
      </c>
      <c r="E1443" s="3">
        <v>41925</v>
      </c>
      <c r="F1443" s="2" t="s">
        <v>5617</v>
      </c>
      <c r="G1443" s="2"/>
      <c r="H1443" s="2" t="s">
        <v>2573</v>
      </c>
      <c r="I1443" s="2" t="s">
        <v>5618</v>
      </c>
      <c r="J1443" s="3">
        <v>41942</v>
      </c>
      <c r="K1443" s="2" t="str">
        <f>HYPERLINK("https://docs.wto.org/imrd/directdoc.asp?DDFDocuments/t/G/SPS/NBRA993.DOC")</f>
        <v>https://docs.wto.org/imrd/directdoc.asp?DDFDocuments/t/G/SPS/NBRA993.DOC</v>
      </c>
      <c r="L1443" s="2" t="str">
        <f>HYPERLINK("https://docs.wto.org/imrd/directdoc.asp?DDFDocuments/u/G/SPS/NBRA993.DOC")</f>
        <v>https://docs.wto.org/imrd/directdoc.asp?DDFDocuments/u/G/SPS/NBRA993.DOC</v>
      </c>
      <c r="M1443" s="2" t="str">
        <f>HYPERLINK("https://docs.wto.org/imrd/directdoc.asp?DDFDocuments/v/G/SPS/NBRA993.DOC")</f>
        <v>https://docs.wto.org/imrd/directdoc.asp?DDFDocuments/v/G/SPS/NBRA993.DOC</v>
      </c>
      <c r="N1443" s="2" t="str">
        <f>HYPERLINK("http://www.epingalert.org/#/details/G/SPS/N/BRA/993")</f>
        <v>http://www.epingalert.org/#/details/G/SPS/N/BRA/993</v>
      </c>
      <c r="O1443" s="2"/>
    </row>
    <row r="1444" spans="1:15" ht="240" customHeight="1" outlineLevel="1" x14ac:dyDescent="0.25">
      <c r="A1444" s="2" t="s">
        <v>42</v>
      </c>
      <c r="B1444" s="2" t="s">
        <v>5619</v>
      </c>
      <c r="C1444" s="2" t="s">
        <v>5620</v>
      </c>
      <c r="D1444" s="2" t="s">
        <v>5621</v>
      </c>
      <c r="E1444" s="3">
        <v>41925</v>
      </c>
      <c r="F1444" s="2" t="s">
        <v>5622</v>
      </c>
      <c r="G1444" s="2"/>
      <c r="H1444" s="2" t="s">
        <v>2573</v>
      </c>
      <c r="I1444" s="2" t="s">
        <v>2453</v>
      </c>
      <c r="J1444" s="3">
        <v>41942</v>
      </c>
      <c r="K1444" s="2" t="str">
        <f>HYPERLINK("https://docs.wto.org/imrd/directdoc.asp?DDFDocuments/t/G/SPS/NBRA992.DOC")</f>
        <v>https://docs.wto.org/imrd/directdoc.asp?DDFDocuments/t/G/SPS/NBRA992.DOC</v>
      </c>
      <c r="L1444" s="2" t="str">
        <f>HYPERLINK("https://docs.wto.org/imrd/directdoc.asp?DDFDocuments/u/G/SPS/NBRA992.DOC")</f>
        <v>https://docs.wto.org/imrd/directdoc.asp?DDFDocuments/u/G/SPS/NBRA992.DOC</v>
      </c>
      <c r="M1444" s="2" t="str">
        <f>HYPERLINK("https://docs.wto.org/imrd/directdoc.asp?DDFDocuments/v/G/SPS/NBRA992.DOC")</f>
        <v>https://docs.wto.org/imrd/directdoc.asp?DDFDocuments/v/G/SPS/NBRA992.DOC</v>
      </c>
      <c r="N1444" s="2" t="str">
        <f>HYPERLINK("http://www.epingalert.org/#/details/G/SPS/N/BRA/992")</f>
        <v>http://www.epingalert.org/#/details/G/SPS/N/BRA/992</v>
      </c>
      <c r="O1444" s="2"/>
    </row>
    <row r="1445" spans="1:15" ht="240" customHeight="1" outlineLevel="1" x14ac:dyDescent="0.25">
      <c r="A1445" s="2" t="s">
        <v>42</v>
      </c>
      <c r="B1445" s="2" t="s">
        <v>5623</v>
      </c>
      <c r="C1445" s="2" t="s">
        <v>5624</v>
      </c>
      <c r="D1445" s="2" t="s">
        <v>5625</v>
      </c>
      <c r="E1445" s="3">
        <v>41925</v>
      </c>
      <c r="F1445" s="2" t="s">
        <v>5625</v>
      </c>
      <c r="G1445" s="2"/>
      <c r="H1445" s="2" t="s">
        <v>2573</v>
      </c>
      <c r="I1445" s="2" t="s">
        <v>2453</v>
      </c>
      <c r="J1445" s="3">
        <v>41942</v>
      </c>
      <c r="K1445" s="2" t="str">
        <f>HYPERLINK("https://docs.wto.org/imrd/directdoc.asp?DDFDocuments/t/G/SPS/NBRA991.DOC")</f>
        <v>https://docs.wto.org/imrd/directdoc.asp?DDFDocuments/t/G/SPS/NBRA991.DOC</v>
      </c>
      <c r="L1445" s="2" t="str">
        <f>HYPERLINK("https://docs.wto.org/imrd/directdoc.asp?DDFDocuments/u/G/SPS/NBRA991.DOC")</f>
        <v>https://docs.wto.org/imrd/directdoc.asp?DDFDocuments/u/G/SPS/NBRA991.DOC</v>
      </c>
      <c r="M1445" s="2" t="str">
        <f>HYPERLINK("https://docs.wto.org/imrd/directdoc.asp?DDFDocuments/v/G/SPS/NBRA991.DOC")</f>
        <v>https://docs.wto.org/imrd/directdoc.asp?DDFDocuments/v/G/SPS/NBRA991.DOC</v>
      </c>
      <c r="N1445" s="2" t="str">
        <f>HYPERLINK("http://www.epingalert.org/#/details/G/SPS/N/BRA/991")</f>
        <v>http://www.epingalert.org/#/details/G/SPS/N/BRA/991</v>
      </c>
      <c r="O1445" s="2"/>
    </row>
    <row r="1446" spans="1:15" ht="240" customHeight="1" outlineLevel="1" x14ac:dyDescent="0.25">
      <c r="A1446" s="2" t="s">
        <v>12</v>
      </c>
      <c r="B1446" s="2" t="s">
        <v>5580</v>
      </c>
      <c r="C1446" s="2" t="s">
        <v>5581</v>
      </c>
      <c r="D1446" s="2" t="s">
        <v>5582</v>
      </c>
      <c r="E1446" s="3">
        <v>41925</v>
      </c>
      <c r="F1446" s="2" t="s">
        <v>3614</v>
      </c>
      <c r="G1446" s="2" t="s">
        <v>5583</v>
      </c>
      <c r="H1446" s="2" t="s">
        <v>2573</v>
      </c>
      <c r="I1446" s="2" t="s">
        <v>2453</v>
      </c>
      <c r="J1446" s="2"/>
      <c r="K1446" s="2" t="str">
        <f>HYPERLINK("https://docs.wto.org/imrd/directdoc.asp?DDFDocuments/t/G/SPS/NEU100.DOC")</f>
        <v>https://docs.wto.org/imrd/directdoc.asp?DDFDocuments/t/G/SPS/NEU100.DOC</v>
      </c>
      <c r="L1446" s="2" t="str">
        <f>HYPERLINK("https://docs.wto.org/imrd/directdoc.asp?DDFDocuments/u/G/SPS/NEU100.DOC")</f>
        <v>https://docs.wto.org/imrd/directdoc.asp?DDFDocuments/u/G/SPS/NEU100.DOC</v>
      </c>
      <c r="M1446" s="2" t="str">
        <f>HYPERLINK("https://docs.wto.org/imrd/directdoc.asp?DDFDocuments/v/G/SPS/NEU100.DOC")</f>
        <v>https://docs.wto.org/imrd/directdoc.asp?DDFDocuments/v/G/SPS/NEU100.DOC</v>
      </c>
      <c r="N1446" s="2" t="str">
        <f>HYPERLINK("http://www.epingalert.org/#/details/G/SPS/N/EU/100")</f>
        <v>http://www.epingalert.org/#/details/G/SPS/N/EU/100</v>
      </c>
      <c r="O1446" s="2"/>
    </row>
    <row r="1447" spans="1:15" ht="240" customHeight="1" outlineLevel="1" x14ac:dyDescent="0.25">
      <c r="A1447" s="2" t="s">
        <v>25</v>
      </c>
      <c r="B1447" s="2" t="s">
        <v>5626</v>
      </c>
      <c r="C1447" s="2" t="s">
        <v>2528</v>
      </c>
      <c r="D1447" s="2" t="s">
        <v>5627</v>
      </c>
      <c r="E1447" s="3">
        <v>41922</v>
      </c>
      <c r="F1447" s="2" t="s">
        <v>299</v>
      </c>
      <c r="G1447" s="2"/>
      <c r="H1447" s="2" t="s">
        <v>2573</v>
      </c>
      <c r="I1447" s="2" t="s">
        <v>5628</v>
      </c>
      <c r="J1447" s="3">
        <v>41982</v>
      </c>
      <c r="K1447" s="2" t="str">
        <f>HYPERLINK("https://docs.wto.org/imrd/directdoc.asp?DDFDocuments/t/G/SPS/NKOR488.DOC")</f>
        <v>https://docs.wto.org/imrd/directdoc.asp?DDFDocuments/t/G/SPS/NKOR488.DOC</v>
      </c>
      <c r="L1447" s="2" t="str">
        <f>HYPERLINK("https://docs.wto.org/imrd/directdoc.asp?DDFDocuments/u/G/SPS/NKOR488.DOC")</f>
        <v>https://docs.wto.org/imrd/directdoc.asp?DDFDocuments/u/G/SPS/NKOR488.DOC</v>
      </c>
      <c r="M1447" s="2" t="str">
        <f>HYPERLINK("https://docs.wto.org/imrd/directdoc.asp?DDFDocuments/v/G/SPS/NKOR488.DOC")</f>
        <v>https://docs.wto.org/imrd/directdoc.asp?DDFDocuments/v/G/SPS/NKOR488.DOC</v>
      </c>
      <c r="N1447" s="2" t="str">
        <f>HYPERLINK("http://www.epingalert.org/#/details/G/SPS/N/KOR/488")</f>
        <v>http://www.epingalert.org/#/details/G/SPS/N/KOR/488</v>
      </c>
      <c r="O1447" s="2"/>
    </row>
    <row r="1448" spans="1:15" ht="240" customHeight="1" outlineLevel="1" x14ac:dyDescent="0.25">
      <c r="A1448" s="2" t="s">
        <v>25</v>
      </c>
      <c r="B1448" s="2" t="s">
        <v>5629</v>
      </c>
      <c r="C1448" s="2" t="s">
        <v>5630</v>
      </c>
      <c r="D1448" s="2" t="s">
        <v>5631</v>
      </c>
      <c r="E1448" s="3">
        <v>41922</v>
      </c>
      <c r="F1448" s="2" t="s">
        <v>5632</v>
      </c>
      <c r="G1448" s="2" t="s">
        <v>2381</v>
      </c>
      <c r="H1448" s="2" t="s">
        <v>2573</v>
      </c>
      <c r="I1448" s="2" t="s">
        <v>2461</v>
      </c>
      <c r="J1448" s="3">
        <v>41982</v>
      </c>
      <c r="K1448" s="2" t="str">
        <f>HYPERLINK("https://docs.wto.org/imrd/directdoc.asp?DDFDocuments/t/G/SPS/NKOR487.DOC")</f>
        <v>https://docs.wto.org/imrd/directdoc.asp?DDFDocuments/t/G/SPS/NKOR487.DOC</v>
      </c>
      <c r="L1448" s="2" t="str">
        <f>HYPERLINK("https://docs.wto.org/imrd/directdoc.asp?DDFDocuments/u/G/SPS/NKOR487.DOC")</f>
        <v>https://docs.wto.org/imrd/directdoc.asp?DDFDocuments/u/G/SPS/NKOR487.DOC</v>
      </c>
      <c r="M1448" s="2" t="str">
        <f>HYPERLINK("https://docs.wto.org/imrd/directdoc.asp?DDFDocuments/v/G/SPS/NKOR487.DOC")</f>
        <v>https://docs.wto.org/imrd/directdoc.asp?DDFDocuments/v/G/SPS/NKOR487.DOC</v>
      </c>
      <c r="N1448" s="2" t="str">
        <f>HYPERLINK("http://www.epingalert.org/#/details/G/SPS/N/KOR/487")</f>
        <v>http://www.epingalert.org/#/details/G/SPS/N/KOR/487</v>
      </c>
      <c r="O1448" s="2"/>
    </row>
    <row r="1449" spans="1:15" ht="240" customHeight="1" outlineLevel="1" x14ac:dyDescent="0.25">
      <c r="A1449" s="2" t="s">
        <v>42</v>
      </c>
      <c r="B1449" s="2" t="s">
        <v>5633</v>
      </c>
      <c r="C1449" s="2" t="s">
        <v>5634</v>
      </c>
      <c r="D1449" s="2" t="s">
        <v>5635</v>
      </c>
      <c r="E1449" s="3">
        <v>41922</v>
      </c>
      <c r="F1449" s="2" t="s">
        <v>5636</v>
      </c>
      <c r="G1449" s="2"/>
      <c r="H1449" s="2" t="s">
        <v>2573</v>
      </c>
      <c r="I1449" s="2" t="s">
        <v>2453</v>
      </c>
      <c r="J1449" s="3">
        <v>41942</v>
      </c>
      <c r="K1449" s="2" t="str">
        <f>HYPERLINK("https://docs.wto.org/imrd/directdoc.asp?DDFDocuments/t/G/SPS/NBRA980.DOC")</f>
        <v>https://docs.wto.org/imrd/directdoc.asp?DDFDocuments/t/G/SPS/NBRA980.DOC</v>
      </c>
      <c r="L1449" s="2" t="str">
        <f>HYPERLINK("https://docs.wto.org/imrd/directdoc.asp?DDFDocuments/u/G/SPS/NBRA980.DOC")</f>
        <v>https://docs.wto.org/imrd/directdoc.asp?DDFDocuments/u/G/SPS/NBRA980.DOC</v>
      </c>
      <c r="M1449" s="2" t="str">
        <f>HYPERLINK("https://docs.wto.org/imrd/directdoc.asp?DDFDocuments/v/G/SPS/NBRA980.DOC")</f>
        <v>https://docs.wto.org/imrd/directdoc.asp?DDFDocuments/v/G/SPS/NBRA980.DOC</v>
      </c>
      <c r="N1449" s="2" t="str">
        <f>HYPERLINK("http://www.epingalert.org/#/details/G/SPS/N/BRA/980")</f>
        <v>http://www.epingalert.org/#/details/G/SPS/N/BRA/980</v>
      </c>
      <c r="O1449" s="2"/>
    </row>
    <row r="1450" spans="1:15" ht="240" customHeight="1" outlineLevel="1" x14ac:dyDescent="0.25">
      <c r="A1450" s="2" t="s">
        <v>42</v>
      </c>
      <c r="B1450" s="2" t="s">
        <v>5637</v>
      </c>
      <c r="C1450" s="2" t="s">
        <v>5638</v>
      </c>
      <c r="D1450" s="2" t="s">
        <v>5639</v>
      </c>
      <c r="E1450" s="3">
        <v>41922</v>
      </c>
      <c r="F1450" s="2" t="s">
        <v>5640</v>
      </c>
      <c r="G1450" s="2"/>
      <c r="H1450" s="2" t="s">
        <v>2573</v>
      </c>
      <c r="I1450" s="2" t="s">
        <v>2453</v>
      </c>
      <c r="J1450" s="3">
        <v>41942</v>
      </c>
      <c r="K1450" s="2" t="str">
        <f>HYPERLINK("https://docs.wto.org/imrd/directdoc.asp?DDFDocuments/t/G/SPS/NBRA979.DOC")</f>
        <v>https://docs.wto.org/imrd/directdoc.asp?DDFDocuments/t/G/SPS/NBRA979.DOC</v>
      </c>
      <c r="L1450" s="2" t="str">
        <f>HYPERLINK("https://docs.wto.org/imrd/directdoc.asp?DDFDocuments/u/G/SPS/NBRA979.DOC")</f>
        <v>https://docs.wto.org/imrd/directdoc.asp?DDFDocuments/u/G/SPS/NBRA979.DOC</v>
      </c>
      <c r="M1450" s="2" t="str">
        <f>HYPERLINK("https://docs.wto.org/imrd/directdoc.asp?DDFDocuments/v/G/SPS/NBRA979.DOC")</f>
        <v>https://docs.wto.org/imrd/directdoc.asp?DDFDocuments/v/G/SPS/NBRA979.DOC</v>
      </c>
      <c r="N1450" s="2" t="str">
        <f>HYPERLINK("http://www.epingalert.org/#/details/G/SPS/N/BRA/979")</f>
        <v>http://www.epingalert.org/#/details/G/SPS/N/BRA/979</v>
      </c>
      <c r="O1450" s="2"/>
    </row>
    <row r="1451" spans="1:15" ht="240" customHeight="1" outlineLevel="1" x14ac:dyDescent="0.25">
      <c r="A1451" s="2" t="s">
        <v>42</v>
      </c>
      <c r="B1451" s="2" t="s">
        <v>5643</v>
      </c>
      <c r="C1451" s="2" t="s">
        <v>5644</v>
      </c>
      <c r="D1451" s="2" t="s">
        <v>5645</v>
      </c>
      <c r="E1451" s="3">
        <v>41920</v>
      </c>
      <c r="F1451" s="2" t="s">
        <v>5646</v>
      </c>
      <c r="G1451" s="2"/>
      <c r="H1451" s="2" t="s">
        <v>2573</v>
      </c>
      <c r="I1451" s="2" t="s">
        <v>2453</v>
      </c>
      <c r="J1451" s="3">
        <v>41942</v>
      </c>
      <c r="K1451" s="2" t="str">
        <f>HYPERLINK("https://docs.wto.org/imrd/directdoc.asp?DDFDocuments/t/G/SPS/NBRA978.DOC")</f>
        <v>https://docs.wto.org/imrd/directdoc.asp?DDFDocuments/t/G/SPS/NBRA978.DOC</v>
      </c>
      <c r="L1451" s="2" t="str">
        <f>HYPERLINK("https://docs.wto.org/imrd/directdoc.asp?DDFDocuments/u/G/SPS/NBRA978.DOC")</f>
        <v>https://docs.wto.org/imrd/directdoc.asp?DDFDocuments/u/G/SPS/NBRA978.DOC</v>
      </c>
      <c r="M1451" s="2" t="str">
        <f>HYPERLINK("https://docs.wto.org/imrd/directdoc.asp?DDFDocuments/v/G/SPS/NBRA978.DOC")</f>
        <v>https://docs.wto.org/imrd/directdoc.asp?DDFDocuments/v/G/SPS/NBRA978.DOC</v>
      </c>
      <c r="N1451" s="2" t="str">
        <f>HYPERLINK("http://www.epingalert.org/#/details/G/SPS/N/BRA/978")</f>
        <v>http://www.epingalert.org/#/details/G/SPS/N/BRA/978</v>
      </c>
      <c r="O1451" s="2"/>
    </row>
    <row r="1452" spans="1:15" ht="240" customHeight="1" outlineLevel="1" x14ac:dyDescent="0.25">
      <c r="A1452" s="2" t="s">
        <v>1908</v>
      </c>
      <c r="B1452" s="2" t="s">
        <v>5641</v>
      </c>
      <c r="C1452" s="2"/>
      <c r="D1452" s="2"/>
      <c r="E1452" s="3">
        <v>41920</v>
      </c>
      <c r="F1452" s="2" t="s">
        <v>5642</v>
      </c>
      <c r="G1452" s="2"/>
      <c r="H1452" s="2" t="s">
        <v>2573</v>
      </c>
      <c r="I1452" s="2" t="s">
        <v>2444</v>
      </c>
      <c r="J1452" s="2"/>
      <c r="K1452" s="2" t="str">
        <f>HYPERLINK("https://docs.wto.org/imrd/directdoc.asp?DDFDocuments/t/G/SPS/NCAN830A1.DOC")</f>
        <v>https://docs.wto.org/imrd/directdoc.asp?DDFDocuments/t/G/SPS/NCAN830A1.DOC</v>
      </c>
      <c r="L1452" s="2" t="str">
        <f>HYPERLINK("https://docs.wto.org/imrd/directdoc.asp?DDFDocuments/u/G/SPS/NCAN830A1.DOC")</f>
        <v>https://docs.wto.org/imrd/directdoc.asp?DDFDocuments/u/G/SPS/NCAN830A1.DOC</v>
      </c>
      <c r="M1452" s="2" t="str">
        <f>HYPERLINK("https://docs.wto.org/imrd/directdoc.asp?DDFDocuments/v/G/SPS/NCAN830A1.DOC")</f>
        <v>https://docs.wto.org/imrd/directdoc.asp?DDFDocuments/v/G/SPS/NCAN830A1.DOC</v>
      </c>
      <c r="N1452" s="2" t="str">
        <f>HYPERLINK("http://www.epingalert.org/#/details/G/SPS/N/CAN/830/Add.1")</f>
        <v>http://www.epingalert.org/#/details/G/SPS/N/CAN/830/Add.1</v>
      </c>
      <c r="O1452" s="2"/>
    </row>
    <row r="1453" spans="1:15" ht="240" customHeight="1" outlineLevel="1" x14ac:dyDescent="0.25">
      <c r="A1453" s="2" t="s">
        <v>646</v>
      </c>
      <c r="B1453" s="2" t="s">
        <v>8166</v>
      </c>
      <c r="C1453" s="2" t="s">
        <v>8167</v>
      </c>
      <c r="D1453" s="2" t="s">
        <v>8168</v>
      </c>
      <c r="E1453" s="3">
        <v>41920</v>
      </c>
      <c r="F1453" s="2" t="s">
        <v>8169</v>
      </c>
      <c r="G1453" s="2" t="s">
        <v>8170</v>
      </c>
      <c r="H1453" s="2" t="s">
        <v>2467</v>
      </c>
      <c r="I1453" s="2" t="s">
        <v>2713</v>
      </c>
      <c r="J1453" s="2"/>
      <c r="K1453" s="2" t="str">
        <f>HYPERLINK("https://docs.wto.org/imrd/directdoc.asp?DDFDocuments/t/G/SPS/NVNM64.DOC")</f>
        <v>https://docs.wto.org/imrd/directdoc.asp?DDFDocuments/t/G/SPS/NVNM64.DOC</v>
      </c>
      <c r="L1453" s="2" t="str">
        <f>HYPERLINK("https://docs.wto.org/imrd/directdoc.asp?DDFDocuments/u/G/SPS/NVNM64.DOC")</f>
        <v>https://docs.wto.org/imrd/directdoc.asp?DDFDocuments/u/G/SPS/NVNM64.DOC</v>
      </c>
      <c r="M1453" s="2" t="str">
        <f>HYPERLINK("https://docs.wto.org/imrd/directdoc.asp?DDFDocuments/v/G/SPS/NVNM64.DOC")</f>
        <v>https://docs.wto.org/imrd/directdoc.asp?DDFDocuments/v/G/SPS/NVNM64.DOC</v>
      </c>
      <c r="N1453" s="2" t="str">
        <f>HYPERLINK("http://www.epingalert.org/#/details/G/SPS/N/VNM/64")</f>
        <v>http://www.epingalert.org/#/details/G/SPS/N/VNM/64</v>
      </c>
      <c r="O1453" s="2"/>
    </row>
    <row r="1454" spans="1:15" ht="240" customHeight="1" outlineLevel="1" x14ac:dyDescent="0.25">
      <c r="A1454" s="2" t="s">
        <v>12</v>
      </c>
      <c r="B1454" s="2" t="s">
        <v>8171</v>
      </c>
      <c r="C1454" s="2"/>
      <c r="D1454" s="2"/>
      <c r="E1454" s="3">
        <v>41919</v>
      </c>
      <c r="F1454" s="2" t="s">
        <v>8172</v>
      </c>
      <c r="G1454" s="2" t="s">
        <v>2399</v>
      </c>
      <c r="H1454" s="2" t="s">
        <v>2648</v>
      </c>
      <c r="I1454" s="2" t="s">
        <v>7296</v>
      </c>
      <c r="J1454" s="2"/>
      <c r="K1454" s="2" t="str">
        <f>HYPERLINK("https://docs.wto.org/imrd/directdoc.asp?DDFDocuments/t/G/SPS/NEU88A1.DOC")</f>
        <v>https://docs.wto.org/imrd/directdoc.asp?DDFDocuments/t/G/SPS/NEU88A1.DOC</v>
      </c>
      <c r="L1454" s="2" t="str">
        <f>HYPERLINK("https://docs.wto.org/imrd/directdoc.asp?DDFDocuments/u/G/SPS/NEU88A1.DOC")</f>
        <v>https://docs.wto.org/imrd/directdoc.asp?DDFDocuments/u/G/SPS/NEU88A1.DOC</v>
      </c>
      <c r="M1454" s="2" t="str">
        <f>HYPERLINK("https://docs.wto.org/imrd/directdoc.asp?DDFDocuments/v/G/SPS/NEU88A1.DOC")</f>
        <v>https://docs.wto.org/imrd/directdoc.asp?DDFDocuments/v/G/SPS/NEU88A1.DOC</v>
      </c>
      <c r="N1454" s="2" t="str">
        <f>HYPERLINK("http://www.epingalert.org/#/details/G/SPS/N/EU/88/Add.1")</f>
        <v>http://www.epingalert.org/#/details/G/SPS/N/EU/88/Add.1</v>
      </c>
      <c r="O1454" s="2"/>
    </row>
    <row r="1455" spans="1:15" ht="240" customHeight="1" outlineLevel="1" x14ac:dyDescent="0.25">
      <c r="A1455" s="2" t="s">
        <v>12</v>
      </c>
      <c r="B1455" s="2" t="s">
        <v>8173</v>
      </c>
      <c r="C1455" s="2" t="s">
        <v>8174</v>
      </c>
      <c r="D1455" s="2" t="s">
        <v>8175</v>
      </c>
      <c r="E1455" s="3">
        <v>41919</v>
      </c>
      <c r="F1455" s="2" t="s">
        <v>7997</v>
      </c>
      <c r="G1455" s="2" t="s">
        <v>8176</v>
      </c>
      <c r="H1455" s="2" t="s">
        <v>2573</v>
      </c>
      <c r="I1455" s="2" t="s">
        <v>8177</v>
      </c>
      <c r="J1455" s="2"/>
      <c r="K1455" s="2" t="str">
        <f>HYPERLINK("https://docs.wto.org/imrd/directdoc.asp?DDFDocuments/t/G/SPS/NEU99.DOC")</f>
        <v>https://docs.wto.org/imrd/directdoc.asp?DDFDocuments/t/G/SPS/NEU99.DOC</v>
      </c>
      <c r="L1455" s="2" t="str">
        <f>HYPERLINK("https://docs.wto.org/imrd/directdoc.asp?DDFDocuments/u/G/SPS/NEU99.DOC")</f>
        <v>https://docs.wto.org/imrd/directdoc.asp?DDFDocuments/u/G/SPS/NEU99.DOC</v>
      </c>
      <c r="M1455" s="2" t="str">
        <f>HYPERLINK("https://docs.wto.org/imrd/directdoc.asp?DDFDocuments/v/G/SPS/NEU99.DOC")</f>
        <v>https://docs.wto.org/imrd/directdoc.asp?DDFDocuments/v/G/SPS/NEU99.DOC</v>
      </c>
      <c r="N1455" s="2" t="str">
        <f>HYPERLINK("http://www.epingalert.org/#/details/G/SPS/N/EU/99")</f>
        <v>http://www.epingalert.org/#/details/G/SPS/N/EU/99</v>
      </c>
      <c r="O1455" s="2"/>
    </row>
    <row r="1456" spans="1:15" ht="240" customHeight="1" outlineLevel="1" x14ac:dyDescent="0.25">
      <c r="A1456" s="2" t="s">
        <v>167</v>
      </c>
      <c r="B1456" s="2" t="s">
        <v>8178</v>
      </c>
      <c r="C1456" s="2" t="s">
        <v>8179</v>
      </c>
      <c r="D1456" s="2" t="s">
        <v>8180</v>
      </c>
      <c r="E1456" s="3">
        <v>41918</v>
      </c>
      <c r="F1456" s="2" t="s">
        <v>8181</v>
      </c>
      <c r="G1456" s="2" t="s">
        <v>2262</v>
      </c>
      <c r="H1456" s="2" t="s">
        <v>7356</v>
      </c>
      <c r="I1456" s="2" t="s">
        <v>8182</v>
      </c>
      <c r="J1456" s="3">
        <v>41978</v>
      </c>
      <c r="K1456" s="2" t="str">
        <f>HYPERLINK("https://docs.wto.org/imrd/directdoc.asp?DDFDocuments/t/G/SPS/NNIC87.DOC")</f>
        <v>https://docs.wto.org/imrd/directdoc.asp?DDFDocuments/t/G/SPS/NNIC87.DOC</v>
      </c>
      <c r="L1456" s="2" t="str">
        <f>HYPERLINK("https://docs.wto.org/imrd/directdoc.asp?DDFDocuments/u/G/SPS/NNIC87.DOC")</f>
        <v>https://docs.wto.org/imrd/directdoc.asp?DDFDocuments/u/G/SPS/NNIC87.DOC</v>
      </c>
      <c r="M1456" s="2" t="str">
        <f>HYPERLINK("https://docs.wto.org/imrd/directdoc.asp?DDFDocuments/v/G/SPS/NNIC87.DOC")</f>
        <v>https://docs.wto.org/imrd/directdoc.asp?DDFDocuments/v/G/SPS/NNIC87.DOC</v>
      </c>
      <c r="N1456" s="2" t="str">
        <f>HYPERLINK("http://www.epingalert.org/#/details/G/SPS/N/NIC/87")</f>
        <v>http://www.epingalert.org/#/details/G/SPS/N/NIC/87</v>
      </c>
      <c r="O1456" s="2"/>
    </row>
    <row r="1457" spans="1:15" ht="240" customHeight="1" outlineLevel="1" x14ac:dyDescent="0.25">
      <c r="A1457" s="2" t="s">
        <v>646</v>
      </c>
      <c r="B1457" s="2" t="s">
        <v>5647</v>
      </c>
      <c r="C1457" s="2"/>
      <c r="D1457" s="2"/>
      <c r="E1457" s="3">
        <v>41918</v>
      </c>
      <c r="F1457" s="2" t="s">
        <v>5648</v>
      </c>
      <c r="G1457" s="2"/>
      <c r="H1457" s="2" t="s">
        <v>2573</v>
      </c>
      <c r="I1457" s="2" t="s">
        <v>2672</v>
      </c>
      <c r="J1457" s="3">
        <v>41942</v>
      </c>
      <c r="K1457" s="2" t="str">
        <f>HYPERLINK("https://docs.wto.org/imrd/directdoc.asp?DDFDocuments/t/G/SPS/NVNM57A1.DOC")</f>
        <v>https://docs.wto.org/imrd/directdoc.asp?DDFDocuments/t/G/SPS/NVNM57A1.DOC</v>
      </c>
      <c r="L1457" s="2" t="str">
        <f>HYPERLINK("https://docs.wto.org/imrd/directdoc.asp?DDFDocuments/u/G/SPS/NVNM57A1.DOC")</f>
        <v>https://docs.wto.org/imrd/directdoc.asp?DDFDocuments/u/G/SPS/NVNM57A1.DOC</v>
      </c>
      <c r="M1457" s="2" t="str">
        <f>HYPERLINK("https://docs.wto.org/imrd/directdoc.asp?DDFDocuments/v/G/SPS/NVNM57A1.DOC")</f>
        <v>https://docs.wto.org/imrd/directdoc.asp?DDFDocuments/v/G/SPS/NVNM57A1.DOC</v>
      </c>
      <c r="N1457" s="2" t="str">
        <f>HYPERLINK("http://www.epingalert.org/#/details/G/SPS/N/VNM/57/Add.1")</f>
        <v>http://www.epingalert.org/#/details/G/SPS/N/VNM/57/Add.1</v>
      </c>
      <c r="O1457" s="2"/>
    </row>
    <row r="1458" spans="1:15" ht="240" customHeight="1" outlineLevel="1" x14ac:dyDescent="0.25">
      <c r="A1458" s="2" t="s">
        <v>18</v>
      </c>
      <c r="B1458" s="2" t="s">
        <v>5649</v>
      </c>
      <c r="C1458" s="2"/>
      <c r="D1458" s="2"/>
      <c r="E1458" s="3">
        <v>41915</v>
      </c>
      <c r="F1458" s="2" t="s">
        <v>3593</v>
      </c>
      <c r="G1458" s="2" t="s">
        <v>5650</v>
      </c>
      <c r="H1458" s="2" t="s">
        <v>2573</v>
      </c>
      <c r="I1458" s="2" t="s">
        <v>2491</v>
      </c>
      <c r="J1458" s="3">
        <v>41988</v>
      </c>
      <c r="K1458" s="2" t="str">
        <f>HYPERLINK("https://docs.wto.org/imrd/directdoc.asp?DDFDocuments/t/G/SPS/NUSA2593A2.DOC")</f>
        <v>https://docs.wto.org/imrd/directdoc.asp?DDFDocuments/t/G/SPS/NUSA2593A2.DOC</v>
      </c>
      <c r="L1458" s="2" t="str">
        <f>HYPERLINK("https://docs.wto.org/imrd/directdoc.asp?DDFDocuments/u/G/SPS/NUSA2593A2.DOC")</f>
        <v>https://docs.wto.org/imrd/directdoc.asp?DDFDocuments/u/G/SPS/NUSA2593A2.DOC</v>
      </c>
      <c r="M1458" s="2" t="str">
        <f>HYPERLINK("https://docs.wto.org/imrd/directdoc.asp?DDFDocuments/v/G/SPS/NUSA2593A2.DOC")</f>
        <v>https://docs.wto.org/imrd/directdoc.asp?DDFDocuments/v/G/SPS/NUSA2593A2.DOC</v>
      </c>
      <c r="N1458" s="2" t="str">
        <f>HYPERLINK("http://www.epingalert.org/#/details/G/SPS/N/USA/2593/Add.2")</f>
        <v>http://www.epingalert.org/#/details/G/SPS/N/USA/2593/Add.2</v>
      </c>
      <c r="O1458" s="2"/>
    </row>
    <row r="1459" spans="1:15" ht="240" customHeight="1" outlineLevel="1" x14ac:dyDescent="0.25">
      <c r="A1459" s="2" t="s">
        <v>18</v>
      </c>
      <c r="B1459" s="2" t="s">
        <v>5651</v>
      </c>
      <c r="C1459" s="2"/>
      <c r="D1459" s="2"/>
      <c r="E1459" s="3">
        <v>41915</v>
      </c>
      <c r="F1459" s="2" t="s">
        <v>5652</v>
      </c>
      <c r="G1459" s="2" t="s">
        <v>5653</v>
      </c>
      <c r="H1459" s="2" t="s">
        <v>2573</v>
      </c>
      <c r="I1459" s="2" t="s">
        <v>2491</v>
      </c>
      <c r="J1459" s="3">
        <v>41988</v>
      </c>
      <c r="K1459" s="2" t="str">
        <f>HYPERLINK("https://docs.wto.org/imrd/directdoc.asp?DDFDocuments/t/G/SPS/NUSA2569A2.DOC")</f>
        <v>https://docs.wto.org/imrd/directdoc.asp?DDFDocuments/t/G/SPS/NUSA2569A2.DOC</v>
      </c>
      <c r="L1459" s="2" t="str">
        <f>HYPERLINK("https://docs.wto.org/imrd/directdoc.asp?DDFDocuments/u/G/SPS/NUSA2569A2.DOC")</f>
        <v>https://docs.wto.org/imrd/directdoc.asp?DDFDocuments/u/G/SPS/NUSA2569A2.DOC</v>
      </c>
      <c r="M1459" s="2" t="str">
        <f>HYPERLINK("https://docs.wto.org/imrd/directdoc.asp?DDFDocuments/v/G/SPS/NUSA2569A2.DOC")</f>
        <v>https://docs.wto.org/imrd/directdoc.asp?DDFDocuments/v/G/SPS/NUSA2569A2.DOC</v>
      </c>
      <c r="N1459" s="2" t="str">
        <f>HYPERLINK("http://www.epingalert.org/#/details/G/SPS/N/USA/2569/Add.2")</f>
        <v>http://www.epingalert.org/#/details/G/SPS/N/USA/2569/Add.2</v>
      </c>
      <c r="O1459" s="2"/>
    </row>
    <row r="1460" spans="1:15" ht="240" customHeight="1" outlineLevel="1" x14ac:dyDescent="0.25">
      <c r="A1460" s="2" t="s">
        <v>18</v>
      </c>
      <c r="B1460" s="2" t="s">
        <v>5654</v>
      </c>
      <c r="C1460" s="2"/>
      <c r="D1460" s="2"/>
      <c r="E1460" s="3">
        <v>41915</v>
      </c>
      <c r="F1460" s="2" t="s">
        <v>3373</v>
      </c>
      <c r="G1460" s="2"/>
      <c r="H1460" s="2" t="s">
        <v>2573</v>
      </c>
      <c r="I1460" s="2" t="s">
        <v>2491</v>
      </c>
      <c r="J1460" s="3">
        <v>41988</v>
      </c>
      <c r="K1460" s="2" t="str">
        <f>HYPERLINK("https://docs.wto.org/imrd/directdoc.asp?DDFDocuments/t/G/SPS/NUSA2502A5.DOC")</f>
        <v>https://docs.wto.org/imrd/directdoc.asp?DDFDocuments/t/G/SPS/NUSA2502A5.DOC</v>
      </c>
      <c r="L1460" s="2" t="str">
        <f>HYPERLINK("https://docs.wto.org/imrd/directdoc.asp?DDFDocuments/u/G/SPS/NUSA2502A5.DOC")</f>
        <v>https://docs.wto.org/imrd/directdoc.asp?DDFDocuments/u/G/SPS/NUSA2502A5.DOC</v>
      </c>
      <c r="M1460" s="2" t="str">
        <f>HYPERLINK("https://docs.wto.org/imrd/directdoc.asp?DDFDocuments/v/G/SPS/NUSA2502A5.DOC")</f>
        <v>https://docs.wto.org/imrd/directdoc.asp?DDFDocuments/v/G/SPS/NUSA2502A5.DOC</v>
      </c>
      <c r="N1460" s="2" t="str">
        <f>HYPERLINK("http://www.epingalert.org/#/details/G/SPS/N/USA/2502/Add.5")</f>
        <v>http://www.epingalert.org/#/details/G/SPS/N/USA/2502/Add.5</v>
      </c>
      <c r="O1460" s="2"/>
    </row>
    <row r="1461" spans="1:15" ht="240" customHeight="1" outlineLevel="1" x14ac:dyDescent="0.25">
      <c r="A1461" s="2" t="s">
        <v>12</v>
      </c>
      <c r="B1461" s="2" t="s">
        <v>5661</v>
      </c>
      <c r="C1461" s="2" t="s">
        <v>5662</v>
      </c>
      <c r="D1461" s="2" t="s">
        <v>5663</v>
      </c>
      <c r="E1461" s="3">
        <v>41915</v>
      </c>
      <c r="F1461" s="2" t="s">
        <v>4169</v>
      </c>
      <c r="G1461" s="2"/>
      <c r="H1461" s="2" t="s">
        <v>2573</v>
      </c>
      <c r="I1461" s="2" t="s">
        <v>2426</v>
      </c>
      <c r="J1461" s="3">
        <v>41975</v>
      </c>
      <c r="K1461" s="2" t="str">
        <f>HYPERLINK("https://docs.wto.org/imrd/directdoc.asp?DDFDocuments/t/G/SPS/NEU96.DOC")</f>
        <v>https://docs.wto.org/imrd/directdoc.asp?DDFDocuments/t/G/SPS/NEU96.DOC</v>
      </c>
      <c r="L1461" s="2" t="str">
        <f>HYPERLINK("https://docs.wto.org/imrd/directdoc.asp?DDFDocuments/u/G/SPS/NEU96.DOC")</f>
        <v>https://docs.wto.org/imrd/directdoc.asp?DDFDocuments/u/G/SPS/NEU96.DOC</v>
      </c>
      <c r="M1461" s="2" t="str">
        <f>HYPERLINK("https://docs.wto.org/imrd/directdoc.asp?DDFDocuments/v/G/SPS/NEU96.DOC")</f>
        <v>https://docs.wto.org/imrd/directdoc.asp?DDFDocuments/v/G/SPS/NEU96.DOC</v>
      </c>
      <c r="N1461" s="2" t="str">
        <f>HYPERLINK("http://www.epingalert.org/#/details/G/SPS/N/EU/96")</f>
        <v>http://www.epingalert.org/#/details/G/SPS/N/EU/96</v>
      </c>
      <c r="O1461" s="2"/>
    </row>
    <row r="1462" spans="1:15" ht="240" customHeight="1" outlineLevel="1" x14ac:dyDescent="0.25">
      <c r="A1462" s="2" t="s">
        <v>12</v>
      </c>
      <c r="B1462" s="2" t="s">
        <v>5655</v>
      </c>
      <c r="C1462" s="2" t="s">
        <v>5656</v>
      </c>
      <c r="D1462" s="2" t="s">
        <v>5657</v>
      </c>
      <c r="E1462" s="3">
        <v>41915</v>
      </c>
      <c r="F1462" s="2" t="s">
        <v>3223</v>
      </c>
      <c r="G1462" s="2"/>
      <c r="H1462" s="2" t="s">
        <v>2573</v>
      </c>
      <c r="I1462" s="2" t="s">
        <v>2426</v>
      </c>
      <c r="J1462" s="2"/>
      <c r="K1462" s="2" t="str">
        <f>HYPERLINK("https://docs.wto.org/imrd/directdoc.asp?DDFDocuments/t/G/SPS/NEU98.DOC")</f>
        <v>https://docs.wto.org/imrd/directdoc.asp?DDFDocuments/t/G/SPS/NEU98.DOC</v>
      </c>
      <c r="L1462" s="2" t="str">
        <f>HYPERLINK("https://docs.wto.org/imrd/directdoc.asp?DDFDocuments/u/G/SPS/NEU98.DOC")</f>
        <v>https://docs.wto.org/imrd/directdoc.asp?DDFDocuments/u/G/SPS/NEU98.DOC</v>
      </c>
      <c r="M1462" s="2" t="str">
        <f>HYPERLINK("https://docs.wto.org/imrd/directdoc.asp?DDFDocuments/v/G/SPS/NEU98.DOC")</f>
        <v>https://docs.wto.org/imrd/directdoc.asp?DDFDocuments/v/G/SPS/NEU98.DOC</v>
      </c>
      <c r="N1462" s="2" t="str">
        <f>HYPERLINK("http://www.epingalert.org/#/details/G/SPS/N/EU/98")</f>
        <v>http://www.epingalert.org/#/details/G/SPS/N/EU/98</v>
      </c>
      <c r="O1462" s="2"/>
    </row>
    <row r="1463" spans="1:15" ht="240" customHeight="1" outlineLevel="1" x14ac:dyDescent="0.25">
      <c r="A1463" s="2" t="s">
        <v>12</v>
      </c>
      <c r="B1463" s="2" t="s">
        <v>5658</v>
      </c>
      <c r="C1463" s="2" t="s">
        <v>5659</v>
      </c>
      <c r="D1463" s="2" t="s">
        <v>5660</v>
      </c>
      <c r="E1463" s="3">
        <v>41915</v>
      </c>
      <c r="F1463" s="2" t="s">
        <v>2606</v>
      </c>
      <c r="G1463" s="2"/>
      <c r="H1463" s="2" t="s">
        <v>2573</v>
      </c>
      <c r="I1463" s="2" t="s">
        <v>2426</v>
      </c>
      <c r="J1463" s="2"/>
      <c r="K1463" s="2" t="str">
        <f>HYPERLINK("https://docs.wto.org/imrd/directdoc.asp?DDFDocuments/t/G/SPS/NEU97.DOC")</f>
        <v>https://docs.wto.org/imrd/directdoc.asp?DDFDocuments/t/G/SPS/NEU97.DOC</v>
      </c>
      <c r="L1463" s="2" t="str">
        <f>HYPERLINK("https://docs.wto.org/imrd/directdoc.asp?DDFDocuments/u/G/SPS/NEU97.DOC")</f>
        <v>https://docs.wto.org/imrd/directdoc.asp?DDFDocuments/u/G/SPS/NEU97.DOC</v>
      </c>
      <c r="M1463" s="2" t="str">
        <f>HYPERLINK("https://docs.wto.org/imrd/directdoc.asp?DDFDocuments/v/G/SPS/NEU97.DOC")</f>
        <v>https://docs.wto.org/imrd/directdoc.asp?DDFDocuments/v/G/SPS/NEU97.DOC</v>
      </c>
      <c r="N1463" s="2" t="str">
        <f>HYPERLINK("http://www.epingalert.org/#/details/G/SPS/N/EU/97")</f>
        <v>http://www.epingalert.org/#/details/G/SPS/N/EU/97</v>
      </c>
      <c r="O1463" s="2"/>
    </row>
    <row r="1464" spans="1:15" ht="240" customHeight="1" outlineLevel="1" x14ac:dyDescent="0.25">
      <c r="A1464" s="2" t="s">
        <v>444</v>
      </c>
      <c r="B1464" s="2" t="s">
        <v>5664</v>
      </c>
      <c r="C1464" s="2" t="s">
        <v>5665</v>
      </c>
      <c r="D1464" s="2" t="s">
        <v>5666</v>
      </c>
      <c r="E1464" s="3">
        <v>41914</v>
      </c>
      <c r="F1464" s="2" t="s">
        <v>2523</v>
      </c>
      <c r="G1464" s="2"/>
      <c r="H1464" s="2" t="s">
        <v>2573</v>
      </c>
      <c r="I1464" s="2" t="s">
        <v>2548</v>
      </c>
      <c r="J1464" s="3">
        <v>41974</v>
      </c>
      <c r="K1464" s="2" t="str">
        <f>HYPERLINK("https://docs.wto.org/imrd/directdoc.asp?DDFDocuments/t/G/SPS/NMYS33.DOC")</f>
        <v>https://docs.wto.org/imrd/directdoc.asp?DDFDocuments/t/G/SPS/NMYS33.DOC</v>
      </c>
      <c r="L1464" s="2" t="str">
        <f>HYPERLINK("https://docs.wto.org/imrd/directdoc.asp?DDFDocuments/u/G/SPS/NMYS33.DOC")</f>
        <v>https://docs.wto.org/imrd/directdoc.asp?DDFDocuments/u/G/SPS/NMYS33.DOC</v>
      </c>
      <c r="M1464" s="2" t="str">
        <f>HYPERLINK("https://docs.wto.org/imrd/directdoc.asp?DDFDocuments/v/G/SPS/NMYS33.DOC")</f>
        <v>https://docs.wto.org/imrd/directdoc.asp?DDFDocuments/v/G/SPS/NMYS33.DOC</v>
      </c>
      <c r="N1464" s="2" t="str">
        <f>HYPERLINK("http://www.epingalert.org/#/details/G/SPS/N/MYS/33")</f>
        <v>http://www.epingalert.org/#/details/G/SPS/N/MYS/33</v>
      </c>
      <c r="O1464" s="2"/>
    </row>
    <row r="1465" spans="1:15" ht="240" customHeight="1" outlineLevel="1" x14ac:dyDescent="0.25">
      <c r="A1465" s="2" t="s">
        <v>225</v>
      </c>
      <c r="B1465" s="2" t="s">
        <v>5667</v>
      </c>
      <c r="C1465" s="2" t="s">
        <v>5668</v>
      </c>
      <c r="D1465" s="2" t="s">
        <v>2494</v>
      </c>
      <c r="E1465" s="3">
        <v>41914</v>
      </c>
      <c r="F1465" s="2" t="s">
        <v>2430</v>
      </c>
      <c r="G1465" s="2"/>
      <c r="H1465" s="2" t="s">
        <v>2573</v>
      </c>
      <c r="I1465" s="2" t="s">
        <v>2431</v>
      </c>
      <c r="J1465" s="3">
        <v>41971</v>
      </c>
      <c r="K1465" s="2" t="str">
        <f>HYPERLINK("https://docs.wto.org/imrd/directdoc.asp?DDFDocuments/t/G/SPS/NAUS346.DOC")</f>
        <v>https://docs.wto.org/imrd/directdoc.asp?DDFDocuments/t/G/SPS/NAUS346.DOC</v>
      </c>
      <c r="L1465" s="2" t="str">
        <f>HYPERLINK("https://docs.wto.org/imrd/directdoc.asp?DDFDocuments/u/G/SPS/NAUS346.DOC")</f>
        <v>https://docs.wto.org/imrd/directdoc.asp?DDFDocuments/u/G/SPS/NAUS346.DOC</v>
      </c>
      <c r="M1465" s="2" t="str">
        <f>HYPERLINK("https://docs.wto.org/imrd/directdoc.asp?DDFDocuments/v/G/SPS/NAUS346.DOC")</f>
        <v>https://docs.wto.org/imrd/directdoc.asp?DDFDocuments/v/G/SPS/NAUS346.DOC</v>
      </c>
      <c r="N1465" s="2" t="str">
        <f>HYPERLINK("http://www.epingalert.org/#/details/G/SPS/N/AUS/346")</f>
        <v>http://www.epingalert.org/#/details/G/SPS/N/AUS/346</v>
      </c>
      <c r="O1465" s="2"/>
    </row>
    <row r="1466" spans="1:15" ht="240" customHeight="1" outlineLevel="1" x14ac:dyDescent="0.25">
      <c r="A1466" s="2" t="s">
        <v>380</v>
      </c>
      <c r="B1466" s="2" t="s">
        <v>8192</v>
      </c>
      <c r="C1466" s="2" t="s">
        <v>8193</v>
      </c>
      <c r="D1466" s="2" t="s">
        <v>8194</v>
      </c>
      <c r="E1466" s="3">
        <v>41912</v>
      </c>
      <c r="F1466" s="2" t="s">
        <v>8195</v>
      </c>
      <c r="G1466" s="2" t="s">
        <v>8196</v>
      </c>
      <c r="H1466" s="2" t="s">
        <v>2573</v>
      </c>
      <c r="I1466" s="2" t="s">
        <v>2461</v>
      </c>
      <c r="J1466" s="3">
        <v>41972</v>
      </c>
      <c r="K1466" s="2" t="str">
        <f>HYPERLINK("https://docs.wto.org/imrd/directdoc.asp?DDFDocuments/t/G/SPS/NCHN689.DOC")</f>
        <v>https://docs.wto.org/imrd/directdoc.asp?DDFDocuments/t/G/SPS/NCHN689.DOC</v>
      </c>
      <c r="L1466" s="2" t="str">
        <f>HYPERLINK("https://docs.wto.org/imrd/directdoc.asp?DDFDocuments/u/G/SPS/NCHN689.DOC")</f>
        <v>https://docs.wto.org/imrd/directdoc.asp?DDFDocuments/u/G/SPS/NCHN689.DOC</v>
      </c>
      <c r="M1466" s="2" t="str">
        <f>HYPERLINK("https://docs.wto.org/imrd/directdoc.asp?DDFDocuments/v/G/SPS/NCHN689.DOC")</f>
        <v>https://docs.wto.org/imrd/directdoc.asp?DDFDocuments/v/G/SPS/NCHN689.DOC</v>
      </c>
      <c r="N1466" s="2" t="str">
        <f>HYPERLINK("http://www.epingalert.org/#/details/G/SPS/N/CHN/689")</f>
        <v>http://www.epingalert.org/#/details/G/SPS/N/CHN/689</v>
      </c>
      <c r="O1466" s="2"/>
    </row>
    <row r="1467" spans="1:15" ht="240" customHeight="1" outlineLevel="1" x14ac:dyDescent="0.25">
      <c r="A1467" s="2" t="s">
        <v>380</v>
      </c>
      <c r="B1467" s="2" t="s">
        <v>8197</v>
      </c>
      <c r="C1467" s="2" t="s">
        <v>8198</v>
      </c>
      <c r="D1467" s="2" t="s">
        <v>8199</v>
      </c>
      <c r="E1467" s="3">
        <v>41912</v>
      </c>
      <c r="F1467" s="2" t="s">
        <v>8200</v>
      </c>
      <c r="G1467" s="2" t="s">
        <v>8201</v>
      </c>
      <c r="H1467" s="2" t="s">
        <v>2573</v>
      </c>
      <c r="I1467" s="2" t="s">
        <v>2461</v>
      </c>
      <c r="J1467" s="3">
        <v>41972</v>
      </c>
      <c r="K1467" s="2" t="str">
        <f>HYPERLINK("https://docs.wto.org/imrd/directdoc.asp?DDFDocuments/t/G/SPS/NCHN688.DOC")</f>
        <v>https://docs.wto.org/imrd/directdoc.asp?DDFDocuments/t/G/SPS/NCHN688.DOC</v>
      </c>
      <c r="L1467" s="2" t="str">
        <f>HYPERLINK("https://docs.wto.org/imrd/directdoc.asp?DDFDocuments/u/G/SPS/NCHN688.DOC")</f>
        <v>https://docs.wto.org/imrd/directdoc.asp?DDFDocuments/u/G/SPS/NCHN688.DOC</v>
      </c>
      <c r="M1467" s="2" t="str">
        <f>HYPERLINK("https://docs.wto.org/imrd/directdoc.asp?DDFDocuments/v/G/SPS/NCHN688.DOC")</f>
        <v>https://docs.wto.org/imrd/directdoc.asp?DDFDocuments/v/G/SPS/NCHN688.DOC</v>
      </c>
      <c r="N1467" s="2" t="str">
        <f>HYPERLINK("http://www.epingalert.org/#/details/G/SPS/N/CHN/688")</f>
        <v>http://www.epingalert.org/#/details/G/SPS/N/CHN/688</v>
      </c>
      <c r="O1467" s="2"/>
    </row>
    <row r="1468" spans="1:15" ht="240" customHeight="1" outlineLevel="1" x14ac:dyDescent="0.25">
      <c r="A1468" s="2" t="s">
        <v>380</v>
      </c>
      <c r="B1468" s="2" t="s">
        <v>8202</v>
      </c>
      <c r="C1468" s="2" t="s">
        <v>8203</v>
      </c>
      <c r="D1468" s="2" t="s">
        <v>8204</v>
      </c>
      <c r="E1468" s="3">
        <v>41912</v>
      </c>
      <c r="F1468" s="2" t="s">
        <v>8205</v>
      </c>
      <c r="G1468" s="2" t="s">
        <v>8206</v>
      </c>
      <c r="H1468" s="2" t="s">
        <v>2573</v>
      </c>
      <c r="I1468" s="2" t="s">
        <v>2771</v>
      </c>
      <c r="J1468" s="3">
        <v>41972</v>
      </c>
      <c r="K1468" s="2" t="str">
        <f>HYPERLINK("https://docs.wto.org/imrd/directdoc.asp?DDFDocuments/t/G/SPS/NCHN687.DOC")</f>
        <v>https://docs.wto.org/imrd/directdoc.asp?DDFDocuments/t/G/SPS/NCHN687.DOC</v>
      </c>
      <c r="L1468" s="2" t="str">
        <f>HYPERLINK("https://docs.wto.org/imrd/directdoc.asp?DDFDocuments/u/G/SPS/NCHN687.DOC")</f>
        <v>https://docs.wto.org/imrd/directdoc.asp?DDFDocuments/u/G/SPS/NCHN687.DOC</v>
      </c>
      <c r="M1468" s="2" t="str">
        <f>HYPERLINK("https://docs.wto.org/imrd/directdoc.asp?DDFDocuments/v/G/SPS/NCHN687.DOC")</f>
        <v>https://docs.wto.org/imrd/directdoc.asp?DDFDocuments/v/G/SPS/NCHN687.DOC</v>
      </c>
      <c r="N1468" s="2" t="str">
        <f>HYPERLINK("http://www.epingalert.org/#/details/G/SPS/N/CHN/687")</f>
        <v>http://www.epingalert.org/#/details/G/SPS/N/CHN/687</v>
      </c>
      <c r="O1468" s="2"/>
    </row>
    <row r="1469" spans="1:15" ht="240" customHeight="1" outlineLevel="1" x14ac:dyDescent="0.25">
      <c r="A1469" s="2" t="s">
        <v>18</v>
      </c>
      <c r="B1469" s="2" t="s">
        <v>8188</v>
      </c>
      <c r="C1469" s="2" t="s">
        <v>8189</v>
      </c>
      <c r="D1469" s="2" t="s">
        <v>8190</v>
      </c>
      <c r="E1469" s="3">
        <v>41912</v>
      </c>
      <c r="F1469" s="2" t="s">
        <v>8191</v>
      </c>
      <c r="G1469" s="2" t="s">
        <v>7496</v>
      </c>
      <c r="H1469" s="2" t="s">
        <v>2573</v>
      </c>
      <c r="I1469" s="2" t="s">
        <v>2461</v>
      </c>
      <c r="J1469" s="3">
        <v>41953</v>
      </c>
      <c r="K1469" s="2" t="str">
        <f>HYPERLINK("https://docs.wto.org/imrd/directdoc.asp?DDFDocuments/t/G/SPS/NUSA2702.DOC")</f>
        <v>https://docs.wto.org/imrd/directdoc.asp?DDFDocuments/t/G/SPS/NUSA2702.DOC</v>
      </c>
      <c r="L1469" s="2" t="str">
        <f>HYPERLINK("https://docs.wto.org/imrd/directdoc.asp?DDFDocuments/u/G/SPS/NUSA2702.DOC")</f>
        <v>https://docs.wto.org/imrd/directdoc.asp?DDFDocuments/u/G/SPS/NUSA2702.DOC</v>
      </c>
      <c r="M1469" s="2" t="str">
        <f>HYPERLINK("https://docs.wto.org/imrd/directdoc.asp?DDFDocuments/v/G/SPS/NUSA2702.DOC")</f>
        <v>https://docs.wto.org/imrd/directdoc.asp?DDFDocuments/v/G/SPS/NUSA2702.DOC</v>
      </c>
      <c r="N1469" s="2" t="str">
        <f>HYPERLINK("http://www.epingalert.org/#/details/G/SPS/N/USA/2702")</f>
        <v>http://www.epingalert.org/#/details/G/SPS/N/USA/2702</v>
      </c>
      <c r="O1469" s="2"/>
    </row>
    <row r="1470" spans="1:15" ht="240" customHeight="1" outlineLevel="1" x14ac:dyDescent="0.25">
      <c r="A1470" s="2" t="s">
        <v>18</v>
      </c>
      <c r="B1470" s="2" t="s">
        <v>8183</v>
      </c>
      <c r="C1470" s="2"/>
      <c r="D1470" s="2"/>
      <c r="E1470" s="3">
        <v>41912</v>
      </c>
      <c r="F1470" s="2" t="s">
        <v>8184</v>
      </c>
      <c r="G1470" s="2" t="s">
        <v>6781</v>
      </c>
      <c r="H1470" s="2" t="s">
        <v>2573</v>
      </c>
      <c r="I1470" s="2" t="s">
        <v>2444</v>
      </c>
      <c r="J1470" s="2"/>
      <c r="K1470" s="2" t="str">
        <f>HYPERLINK("https://docs.wto.org/imrd/directdoc.asp?DDFDocuments/t/G/SPS/NUSA2484A1.DOC")</f>
        <v>https://docs.wto.org/imrd/directdoc.asp?DDFDocuments/t/G/SPS/NUSA2484A1.DOC</v>
      </c>
      <c r="L1470" s="2" t="str">
        <f>HYPERLINK("https://docs.wto.org/imrd/directdoc.asp?DDFDocuments/u/G/SPS/NUSA2484A1.DOC")</f>
        <v>https://docs.wto.org/imrd/directdoc.asp?DDFDocuments/u/G/SPS/NUSA2484A1.DOC</v>
      </c>
      <c r="M1470" s="2" t="str">
        <f>HYPERLINK("https://docs.wto.org/imrd/directdoc.asp?DDFDocuments/v/G/SPS/NUSA2484A1.DOC")</f>
        <v>https://docs.wto.org/imrd/directdoc.asp?DDFDocuments/v/G/SPS/NUSA2484A1.DOC</v>
      </c>
      <c r="N1470" s="2" t="str">
        <f>HYPERLINK("http://www.epingalert.org/#/details/G/SPS/N/USA/2484/Add.1")</f>
        <v>http://www.epingalert.org/#/details/G/SPS/N/USA/2484/Add.1</v>
      </c>
      <c r="O1470" s="2"/>
    </row>
    <row r="1471" spans="1:15" ht="240" customHeight="1" outlineLevel="1" x14ac:dyDescent="0.25">
      <c r="A1471" s="2" t="s">
        <v>1042</v>
      </c>
      <c r="B1471" s="2" t="s">
        <v>8185</v>
      </c>
      <c r="C1471" s="2"/>
      <c r="D1471" s="2"/>
      <c r="E1471" s="3">
        <v>41912</v>
      </c>
      <c r="F1471" s="2" t="s">
        <v>8186</v>
      </c>
      <c r="G1471" s="2" t="s">
        <v>8187</v>
      </c>
      <c r="H1471" s="2" t="s">
        <v>2467</v>
      </c>
      <c r="I1471" s="2" t="s">
        <v>7143</v>
      </c>
      <c r="J1471" s="2"/>
      <c r="K1471" s="2" t="str">
        <f>HYPERLINK("https://docs.wto.org/imrd/directdoc.asp?DDFDocuments/t/G/SPS/NPHL239A1.DOC")</f>
        <v>https://docs.wto.org/imrd/directdoc.asp?DDFDocuments/t/G/SPS/NPHL239A1.DOC</v>
      </c>
      <c r="L1471" s="2" t="str">
        <f>HYPERLINK("https://docs.wto.org/imrd/directdoc.asp?DDFDocuments/u/G/SPS/NPHL239A1.DOC")</f>
        <v>https://docs.wto.org/imrd/directdoc.asp?DDFDocuments/u/G/SPS/NPHL239A1.DOC</v>
      </c>
      <c r="M1471" s="2" t="str">
        <f>HYPERLINK("https://docs.wto.org/imrd/directdoc.asp?DDFDocuments/v/G/SPS/NPHL239A1.DOC")</f>
        <v>https://docs.wto.org/imrd/directdoc.asp?DDFDocuments/v/G/SPS/NPHL239A1.DOC</v>
      </c>
      <c r="N1471" s="2" t="str">
        <f>HYPERLINK("http://www.epingalert.org/#/details/G/SPS/N/PHL/239/Add.1")</f>
        <v>http://www.epingalert.org/#/details/G/SPS/N/PHL/239/Add.1</v>
      </c>
      <c r="O1471" s="2"/>
    </row>
    <row r="1472" spans="1:15" ht="240" customHeight="1" outlineLevel="1" x14ac:dyDescent="0.25">
      <c r="A1472" s="2" t="s">
        <v>1908</v>
      </c>
      <c r="B1472" s="2" t="s">
        <v>5669</v>
      </c>
      <c r="C1472" s="2" t="s">
        <v>5670</v>
      </c>
      <c r="D1472" s="2" t="s">
        <v>5671</v>
      </c>
      <c r="E1472" s="3">
        <v>41906</v>
      </c>
      <c r="F1472" s="2" t="s">
        <v>5306</v>
      </c>
      <c r="G1472" s="2"/>
      <c r="H1472" s="2" t="s">
        <v>2573</v>
      </c>
      <c r="I1472" s="2" t="s">
        <v>2453</v>
      </c>
      <c r="J1472" s="3">
        <v>41965</v>
      </c>
      <c r="K1472" s="2" t="str">
        <f>HYPERLINK("https://docs.wto.org/imrd/directdoc.asp?DDFDocuments/t/G/SPS/NCAN871.DOC")</f>
        <v>https://docs.wto.org/imrd/directdoc.asp?DDFDocuments/t/G/SPS/NCAN871.DOC</v>
      </c>
      <c r="L1472" s="2" t="str">
        <f>HYPERLINK("https://docs.wto.org/imrd/directdoc.asp?DDFDocuments/u/G/SPS/NCAN871.DOC")</f>
        <v>https://docs.wto.org/imrd/directdoc.asp?DDFDocuments/u/G/SPS/NCAN871.DOC</v>
      </c>
      <c r="M1472" s="2" t="str">
        <f>HYPERLINK("https://docs.wto.org/imrd/directdoc.asp?DDFDocuments/v/G/SPS/NCAN871.DOC")</f>
        <v>https://docs.wto.org/imrd/directdoc.asp?DDFDocuments/v/G/SPS/NCAN871.DOC</v>
      </c>
      <c r="N1472" s="2" t="str">
        <f>HYPERLINK("http://www.epingalert.org/#/details/G/SPS/N/CAN/871")</f>
        <v>http://www.epingalert.org/#/details/G/SPS/N/CAN/871</v>
      </c>
      <c r="O1472" s="2"/>
    </row>
    <row r="1473" spans="1:15" ht="240" customHeight="1" outlineLevel="1" x14ac:dyDescent="0.25">
      <c r="A1473" s="2" t="s">
        <v>1908</v>
      </c>
      <c r="B1473" s="2" t="s">
        <v>5672</v>
      </c>
      <c r="C1473" s="2" t="s">
        <v>5673</v>
      </c>
      <c r="D1473" s="2" t="s">
        <v>5674</v>
      </c>
      <c r="E1473" s="3">
        <v>41906</v>
      </c>
      <c r="F1473" s="2" t="s">
        <v>2823</v>
      </c>
      <c r="G1473" s="2"/>
      <c r="H1473" s="2" t="s">
        <v>2573</v>
      </c>
      <c r="I1473" s="2" t="s">
        <v>2453</v>
      </c>
      <c r="J1473" s="3">
        <v>41955</v>
      </c>
      <c r="K1473" s="2" t="str">
        <f>HYPERLINK("https://docs.wto.org/imrd/directdoc.asp?DDFDocuments/t/G/SPS/NCAN870.DOC")</f>
        <v>https://docs.wto.org/imrd/directdoc.asp?DDFDocuments/t/G/SPS/NCAN870.DOC</v>
      </c>
      <c r="L1473" s="2" t="str">
        <f>HYPERLINK("https://docs.wto.org/imrd/directdoc.asp?DDFDocuments/u/G/SPS/NCAN870.DOC")</f>
        <v>https://docs.wto.org/imrd/directdoc.asp?DDFDocuments/u/G/SPS/NCAN870.DOC</v>
      </c>
      <c r="M1473" s="2" t="str">
        <f>HYPERLINK("https://docs.wto.org/imrd/directdoc.asp?DDFDocuments/v/G/SPS/NCAN870.DOC")</f>
        <v>https://docs.wto.org/imrd/directdoc.asp?DDFDocuments/v/G/SPS/NCAN870.DOC</v>
      </c>
      <c r="N1473" s="2" t="str">
        <f>HYPERLINK("http://www.epingalert.org/#/details/G/SPS/N/CAN/870")</f>
        <v>http://www.epingalert.org/#/details/G/SPS/N/CAN/870</v>
      </c>
      <c r="O1473" s="2"/>
    </row>
    <row r="1474" spans="1:15" ht="240" customHeight="1" outlineLevel="1" x14ac:dyDescent="0.25">
      <c r="A1474" s="2" t="s">
        <v>12</v>
      </c>
      <c r="B1474" s="2" t="s">
        <v>5675</v>
      </c>
      <c r="C1474" s="2"/>
      <c r="D1474" s="2"/>
      <c r="E1474" s="3">
        <v>41905</v>
      </c>
      <c r="F1474" s="2" t="s">
        <v>5676</v>
      </c>
      <c r="G1474" s="2"/>
      <c r="H1474" s="2" t="s">
        <v>4860</v>
      </c>
      <c r="I1474" s="2" t="s">
        <v>5677</v>
      </c>
      <c r="J1474" s="2"/>
      <c r="K1474" s="2" t="str">
        <f>HYPERLINK("https://docs.wto.org/imrd/directdoc.asp?DDFDocuments/t/G/SPS/NEEC384A2.DOC")</f>
        <v>https://docs.wto.org/imrd/directdoc.asp?DDFDocuments/t/G/SPS/NEEC384A2.DOC</v>
      </c>
      <c r="L1474" s="2" t="str">
        <f>HYPERLINK("https://docs.wto.org/imrd/directdoc.asp?DDFDocuments/u/G/SPS/NEEC384A2.DOC")</f>
        <v>https://docs.wto.org/imrd/directdoc.asp?DDFDocuments/u/G/SPS/NEEC384A2.DOC</v>
      </c>
      <c r="M1474" s="2" t="str">
        <f>HYPERLINK("https://docs.wto.org/imrd/directdoc.asp?DDFDocuments/v/G/SPS/NEEC384A2.DOC")</f>
        <v>https://docs.wto.org/imrd/directdoc.asp?DDFDocuments/v/G/SPS/NEEC384A2.DOC</v>
      </c>
      <c r="N1474" s="2" t="str">
        <f>HYPERLINK("http://www.epingalert.org/#/details/G/SPS/N/EEC/384/Add.2")</f>
        <v>http://www.epingalert.org/#/details/G/SPS/N/EEC/384/Add.2</v>
      </c>
      <c r="O1474" s="2"/>
    </row>
    <row r="1475" spans="1:15" ht="240" customHeight="1" outlineLevel="1" x14ac:dyDescent="0.25">
      <c r="A1475" s="2" t="s">
        <v>12</v>
      </c>
      <c r="B1475" s="2" t="s">
        <v>5678</v>
      </c>
      <c r="C1475" s="2" t="s">
        <v>5679</v>
      </c>
      <c r="D1475" s="2" t="s">
        <v>5680</v>
      </c>
      <c r="E1475" s="3">
        <v>41905</v>
      </c>
      <c r="F1475" s="2" t="s">
        <v>3614</v>
      </c>
      <c r="G1475" s="2" t="s">
        <v>5681</v>
      </c>
      <c r="H1475" s="2" t="s">
        <v>2573</v>
      </c>
      <c r="I1475" s="2" t="s">
        <v>2453</v>
      </c>
      <c r="J1475" s="2"/>
      <c r="K1475" s="2" t="str">
        <f>HYPERLINK("https://docs.wto.org/imrd/directdoc.asp?DDFDocuments/t/G/SPS/NEU95.DOC")</f>
        <v>https://docs.wto.org/imrd/directdoc.asp?DDFDocuments/t/G/SPS/NEU95.DOC</v>
      </c>
      <c r="L1475" s="2" t="str">
        <f>HYPERLINK("https://docs.wto.org/imrd/directdoc.asp?DDFDocuments/u/G/SPS/NEU95.DOC")</f>
        <v>https://docs.wto.org/imrd/directdoc.asp?DDFDocuments/u/G/SPS/NEU95.DOC</v>
      </c>
      <c r="M1475" s="2" t="str">
        <f>HYPERLINK("https://docs.wto.org/imrd/directdoc.asp?DDFDocuments/v/G/SPS/NEU95.DOC")</f>
        <v>https://docs.wto.org/imrd/directdoc.asp?DDFDocuments/v/G/SPS/NEU95.DOC</v>
      </c>
      <c r="N1475" s="2" t="str">
        <f>HYPERLINK("http://www.epingalert.org/#/details/G/SPS/N/EU/95")</f>
        <v>http://www.epingalert.org/#/details/G/SPS/N/EU/95</v>
      </c>
      <c r="O1475" s="2"/>
    </row>
    <row r="1476" spans="1:15" ht="240" customHeight="1" outlineLevel="1" x14ac:dyDescent="0.25">
      <c r="A1476" s="2" t="s">
        <v>12</v>
      </c>
      <c r="B1476" s="2" t="s">
        <v>8207</v>
      </c>
      <c r="C1476" s="2"/>
      <c r="D1476" s="2"/>
      <c r="E1476" s="3">
        <v>41905</v>
      </c>
      <c r="F1476" s="2" t="s">
        <v>8208</v>
      </c>
      <c r="G1476" s="2" t="s">
        <v>8209</v>
      </c>
      <c r="H1476" s="2" t="s">
        <v>2573</v>
      </c>
      <c r="I1476" s="2" t="s">
        <v>7034</v>
      </c>
      <c r="J1476" s="2"/>
      <c r="K1476" s="2" t="str">
        <f>HYPERLINK("https://docs.wto.org/imrd/directdoc.asp?DDFDocuments/t/G/SPS/NEEC366A1.DOC")</f>
        <v>https://docs.wto.org/imrd/directdoc.asp?DDFDocuments/t/G/SPS/NEEC366A1.DOC</v>
      </c>
      <c r="L1476" s="2" t="str">
        <f>HYPERLINK("https://docs.wto.org/imrd/directdoc.asp?DDFDocuments/u/G/SPS/NEEC366A1.DOC")</f>
        <v>https://docs.wto.org/imrd/directdoc.asp?DDFDocuments/u/G/SPS/NEEC366A1.DOC</v>
      </c>
      <c r="M1476" s="2" t="str">
        <f>HYPERLINK("https://docs.wto.org/imrd/directdoc.asp?DDFDocuments/v/G/SPS/NEEC366A1.DOC")</f>
        <v>https://docs.wto.org/imrd/directdoc.asp?DDFDocuments/v/G/SPS/NEEC366A1.DOC</v>
      </c>
      <c r="N1476" s="2" t="str">
        <f>HYPERLINK("http://www.epingalert.org/#/details/G/SPS/N/EEC/366/Add.1")</f>
        <v>http://www.epingalert.org/#/details/G/SPS/N/EEC/366/Add.1</v>
      </c>
      <c r="O1476" s="2"/>
    </row>
    <row r="1477" spans="1:15" ht="240" customHeight="1" outlineLevel="1" x14ac:dyDescent="0.25">
      <c r="A1477" s="2" t="s">
        <v>25</v>
      </c>
      <c r="B1477" s="2" t="s">
        <v>5682</v>
      </c>
      <c r="C1477" s="2" t="s">
        <v>5630</v>
      </c>
      <c r="D1477" s="2" t="s">
        <v>5683</v>
      </c>
      <c r="E1477" s="3">
        <v>41904</v>
      </c>
      <c r="F1477" s="2" t="s">
        <v>5684</v>
      </c>
      <c r="G1477" s="2"/>
      <c r="H1477" s="2" t="s">
        <v>2573</v>
      </c>
      <c r="I1477" s="2" t="s">
        <v>2461</v>
      </c>
      <c r="J1477" s="3">
        <v>41964</v>
      </c>
      <c r="K1477" s="2" t="str">
        <f>HYPERLINK("https://docs.wto.org/imrd/directdoc.asp?DDFDocuments/t/G/SPS/NKOR486.DOC")</f>
        <v>https://docs.wto.org/imrd/directdoc.asp?DDFDocuments/t/G/SPS/NKOR486.DOC</v>
      </c>
      <c r="L1477" s="2" t="str">
        <f>HYPERLINK("https://docs.wto.org/imrd/directdoc.asp?DDFDocuments/u/G/SPS/NKOR486.DOC")</f>
        <v>https://docs.wto.org/imrd/directdoc.asp?DDFDocuments/u/G/SPS/NKOR486.DOC</v>
      </c>
      <c r="M1477" s="2" t="str">
        <f>HYPERLINK("https://docs.wto.org/imrd/directdoc.asp?DDFDocuments/v/G/SPS/NKOR486.DOC")</f>
        <v>https://docs.wto.org/imrd/directdoc.asp?DDFDocuments/v/G/SPS/NKOR486.DOC</v>
      </c>
      <c r="N1477" s="2" t="str">
        <f>HYPERLINK("http://www.epingalert.org/#/details/G/SPS/N/KOR/486")</f>
        <v>http://www.epingalert.org/#/details/G/SPS/N/KOR/486</v>
      </c>
      <c r="O1477" s="2"/>
    </row>
    <row r="1478" spans="1:15" ht="240" customHeight="1" outlineLevel="1" x14ac:dyDescent="0.25">
      <c r="A1478" s="2" t="s">
        <v>18</v>
      </c>
      <c r="B1478" s="2" t="s">
        <v>8210</v>
      </c>
      <c r="C1478" s="2" t="s">
        <v>8211</v>
      </c>
      <c r="D1478" s="2" t="s">
        <v>8212</v>
      </c>
      <c r="E1478" s="3">
        <v>41899</v>
      </c>
      <c r="F1478" s="2" t="s">
        <v>8213</v>
      </c>
      <c r="G1478" s="2" t="s">
        <v>8015</v>
      </c>
      <c r="H1478" s="2" t="s">
        <v>2467</v>
      </c>
      <c r="I1478" s="2" t="s">
        <v>5278</v>
      </c>
      <c r="J1478" s="3">
        <v>41940</v>
      </c>
      <c r="K1478" s="2" t="str">
        <f>HYPERLINK("https://docs.wto.org/imrd/directdoc.asp?DDFDocuments/t/G/SPS/NUSA2699.DOC")</f>
        <v>https://docs.wto.org/imrd/directdoc.asp?DDFDocuments/t/G/SPS/NUSA2699.DOC</v>
      </c>
      <c r="L1478" s="2" t="str">
        <f>HYPERLINK("https://docs.wto.org/imrd/directdoc.asp?DDFDocuments/u/G/SPS/NUSA2699.DOC")</f>
        <v>https://docs.wto.org/imrd/directdoc.asp?DDFDocuments/u/G/SPS/NUSA2699.DOC</v>
      </c>
      <c r="M1478" s="2" t="str">
        <f>HYPERLINK("https://docs.wto.org/imrd/directdoc.asp?DDFDocuments/v/G/SPS/NUSA2699.DOC")</f>
        <v>https://docs.wto.org/imrd/directdoc.asp?DDFDocuments/v/G/SPS/NUSA2699.DOC</v>
      </c>
      <c r="N1478" s="2" t="str">
        <f>HYPERLINK("http://www.epingalert.org/#/details/G/SPS/N/USA/2699")</f>
        <v>http://www.epingalert.org/#/details/G/SPS/N/USA/2699</v>
      </c>
      <c r="O1478" s="2"/>
    </row>
    <row r="1479" spans="1:15" ht="240" customHeight="1" outlineLevel="1" x14ac:dyDescent="0.25">
      <c r="A1479" s="2" t="s">
        <v>1216</v>
      </c>
      <c r="B1479" s="2" t="s">
        <v>8214</v>
      </c>
      <c r="C1479" s="2"/>
      <c r="D1479" s="2"/>
      <c r="E1479" s="3">
        <v>41898</v>
      </c>
      <c r="F1479" s="2" t="s">
        <v>8215</v>
      </c>
      <c r="G1479" s="2" t="s">
        <v>8216</v>
      </c>
      <c r="H1479" s="2" t="s">
        <v>2467</v>
      </c>
      <c r="I1479" s="2" t="s">
        <v>6983</v>
      </c>
      <c r="J1479" s="2"/>
      <c r="K1479" s="2" t="str">
        <f>HYPERLINK("https://docs.wto.org/imrd/directdoc.asp?DDFDocuments/t/G/SPS/NUKR98C1.DOC")</f>
        <v>https://docs.wto.org/imrd/directdoc.asp?DDFDocuments/t/G/SPS/NUKR98C1.DOC</v>
      </c>
      <c r="L1479" s="2" t="str">
        <f>HYPERLINK("https://docs.wto.org/imrd/directdoc.asp?DDFDocuments/u/G/SPS/NUKR98C1.DOC")</f>
        <v>https://docs.wto.org/imrd/directdoc.asp?DDFDocuments/u/G/SPS/NUKR98C1.DOC</v>
      </c>
      <c r="M1479" s="2" t="str">
        <f>HYPERLINK("https://docs.wto.org/imrd/directdoc.asp?DDFDocuments/v/G/SPS/NUKR98C1.DOC")</f>
        <v>https://docs.wto.org/imrd/directdoc.asp?DDFDocuments/v/G/SPS/NUKR98C1.DOC</v>
      </c>
      <c r="N1479" s="2" t="str">
        <f>HYPERLINK("http://www.epingalert.org/#/details/G/SPS/N/UKR/98/Corr.1")</f>
        <v>http://www.epingalert.org/#/details/G/SPS/N/UKR/98/Corr.1</v>
      </c>
      <c r="O1479" s="2"/>
    </row>
    <row r="1480" spans="1:15" ht="240" customHeight="1" outlineLevel="1" x14ac:dyDescent="0.25">
      <c r="A1480" s="2" t="s">
        <v>170</v>
      </c>
      <c r="B1480" s="2" t="s">
        <v>8217</v>
      </c>
      <c r="C1480" s="2" t="s">
        <v>8218</v>
      </c>
      <c r="D1480" s="2" t="s">
        <v>8219</v>
      </c>
      <c r="E1480" s="3">
        <v>41890</v>
      </c>
      <c r="F1480" s="2" t="s">
        <v>8220</v>
      </c>
      <c r="G1480" s="2" t="s">
        <v>2049</v>
      </c>
      <c r="H1480" s="2" t="s">
        <v>2573</v>
      </c>
      <c r="I1480" s="2" t="s">
        <v>8221</v>
      </c>
      <c r="J1480" s="3">
        <v>41950</v>
      </c>
      <c r="K1480" s="2" t="str">
        <f>HYPERLINK("https://docs.wto.org/imrd/directdoc.asp?DDFDocuments/t/G/SPS/NSLV117.DOC")</f>
        <v>https://docs.wto.org/imrd/directdoc.asp?DDFDocuments/t/G/SPS/NSLV117.DOC</v>
      </c>
      <c r="L1480" s="2" t="str">
        <f>HYPERLINK("https://docs.wto.org/imrd/directdoc.asp?DDFDocuments/u/G/SPS/NSLV117.DOC")</f>
        <v>https://docs.wto.org/imrd/directdoc.asp?DDFDocuments/u/G/SPS/NSLV117.DOC</v>
      </c>
      <c r="M1480" s="2" t="str">
        <f>HYPERLINK("https://docs.wto.org/imrd/directdoc.asp?DDFDocuments/v/G/SPS/NSLV117.DOC")</f>
        <v>https://docs.wto.org/imrd/directdoc.asp?DDFDocuments/v/G/SPS/NSLV117.DOC</v>
      </c>
      <c r="N1480" s="2" t="str">
        <f>HYPERLINK("http://www.epingalert.org/#/details/G/SPS/N/SLV/117")</f>
        <v>http://www.epingalert.org/#/details/G/SPS/N/SLV/117</v>
      </c>
      <c r="O1480" s="2"/>
    </row>
    <row r="1481" spans="1:15" ht="240" customHeight="1" outlineLevel="1" x14ac:dyDescent="0.25">
      <c r="A1481" s="2" t="s">
        <v>1908</v>
      </c>
      <c r="B1481" s="2" t="s">
        <v>5685</v>
      </c>
      <c r="C1481" s="2"/>
      <c r="D1481" s="2"/>
      <c r="E1481" s="3">
        <v>41890</v>
      </c>
      <c r="F1481" s="2" t="s">
        <v>4191</v>
      </c>
      <c r="G1481" s="2" t="s">
        <v>5686</v>
      </c>
      <c r="H1481" s="2" t="s">
        <v>2573</v>
      </c>
      <c r="I1481" s="2" t="s">
        <v>2672</v>
      </c>
      <c r="J1481" s="3">
        <v>41922</v>
      </c>
      <c r="K1481" s="2" t="str">
        <f>HYPERLINK("https://docs.wto.org/imrd/directdoc.asp?DDFDocuments/t/G/SPS/NCAN845A1.DOC")</f>
        <v>https://docs.wto.org/imrd/directdoc.asp?DDFDocuments/t/G/SPS/NCAN845A1.DOC</v>
      </c>
      <c r="L1481" s="2" t="str">
        <f>HYPERLINK("https://docs.wto.org/imrd/directdoc.asp?DDFDocuments/u/G/SPS/NCAN845A1.DOC")</f>
        <v>https://docs.wto.org/imrd/directdoc.asp?DDFDocuments/u/G/SPS/NCAN845A1.DOC</v>
      </c>
      <c r="M1481" s="2" t="str">
        <f>HYPERLINK("https://docs.wto.org/imrd/directdoc.asp?DDFDocuments/v/G/SPS/NCAN845A1.DOC")</f>
        <v>https://docs.wto.org/imrd/directdoc.asp?DDFDocuments/v/G/SPS/NCAN845A1.DOC</v>
      </c>
      <c r="N1481" s="2" t="str">
        <f>HYPERLINK("http://www.epingalert.org/#/details/G/SPS/N/CAN/845/Add.1")</f>
        <v>http://www.epingalert.org/#/details/G/SPS/N/CAN/845/Add.1</v>
      </c>
      <c r="O1481" s="2"/>
    </row>
    <row r="1482" spans="1:15" ht="240" customHeight="1" outlineLevel="1" x14ac:dyDescent="0.25">
      <c r="A1482" s="2" t="s">
        <v>115</v>
      </c>
      <c r="B1482" s="2" t="s">
        <v>8224</v>
      </c>
      <c r="C1482" s="2" t="s">
        <v>6754</v>
      </c>
      <c r="D1482" s="2" t="s">
        <v>8225</v>
      </c>
      <c r="E1482" s="3">
        <v>41887</v>
      </c>
      <c r="F1482" s="2" t="s">
        <v>8226</v>
      </c>
      <c r="G1482" s="2" t="s">
        <v>8227</v>
      </c>
      <c r="H1482" s="2" t="s">
        <v>2573</v>
      </c>
      <c r="I1482" s="2" t="s">
        <v>2453</v>
      </c>
      <c r="J1482" s="3">
        <v>41947</v>
      </c>
      <c r="K1482" s="2" t="str">
        <f>HYPERLINK("https://docs.wto.org/imrd/directdoc.asp?DDFDocuments/t/G/SPS/NJPN365.DOC")</f>
        <v>https://docs.wto.org/imrd/directdoc.asp?DDFDocuments/t/G/SPS/NJPN365.DOC</v>
      </c>
      <c r="L1482" s="2" t="str">
        <f>HYPERLINK("https://docs.wto.org/imrd/directdoc.asp?DDFDocuments/u/G/SPS/NJPN365.DOC")</f>
        <v>https://docs.wto.org/imrd/directdoc.asp?DDFDocuments/u/G/SPS/NJPN365.DOC</v>
      </c>
      <c r="M1482" s="2" t="str">
        <f>HYPERLINK("https://docs.wto.org/imrd/directdoc.asp?DDFDocuments/v/G/SPS/NJPN365.DOC")</f>
        <v>https://docs.wto.org/imrd/directdoc.asp?DDFDocuments/v/G/SPS/NJPN365.DOC</v>
      </c>
      <c r="N1482" s="2" t="str">
        <f>HYPERLINK("http://www.epingalert.org/#/details/G/SPS/N/JPN/365")</f>
        <v>http://www.epingalert.org/#/details/G/SPS/N/JPN/365</v>
      </c>
      <c r="O1482" s="2"/>
    </row>
    <row r="1483" spans="1:15" ht="240" customHeight="1" outlineLevel="1" x14ac:dyDescent="0.25">
      <c r="A1483" s="2" t="s">
        <v>115</v>
      </c>
      <c r="B1483" s="2" t="s">
        <v>8228</v>
      </c>
      <c r="C1483" s="2" t="s">
        <v>8229</v>
      </c>
      <c r="D1483" s="2" t="s">
        <v>8230</v>
      </c>
      <c r="E1483" s="3">
        <v>41887</v>
      </c>
      <c r="F1483" s="2" t="s">
        <v>6775</v>
      </c>
      <c r="G1483" s="2" t="s">
        <v>8231</v>
      </c>
      <c r="H1483" s="2" t="s">
        <v>2573</v>
      </c>
      <c r="I1483" s="2" t="s">
        <v>5419</v>
      </c>
      <c r="J1483" s="3">
        <v>41947</v>
      </c>
      <c r="K1483" s="2" t="str">
        <f>HYPERLINK("https://docs.wto.org/imrd/directdoc.asp?DDFDocuments/t/G/SPS/NJPN364.DOC")</f>
        <v>https://docs.wto.org/imrd/directdoc.asp?DDFDocuments/t/G/SPS/NJPN364.DOC</v>
      </c>
      <c r="L1483" s="2" t="str">
        <f>HYPERLINK("https://docs.wto.org/imrd/directdoc.asp?DDFDocuments/u/G/SPS/NJPN364.DOC")</f>
        <v>https://docs.wto.org/imrd/directdoc.asp?DDFDocuments/u/G/SPS/NJPN364.DOC</v>
      </c>
      <c r="M1483" s="2" t="str">
        <f>HYPERLINK("https://docs.wto.org/imrd/directdoc.asp?DDFDocuments/v/G/SPS/NJPN364.DOC")</f>
        <v>https://docs.wto.org/imrd/directdoc.asp?DDFDocuments/v/G/SPS/NJPN364.DOC</v>
      </c>
      <c r="N1483" s="2" t="str">
        <f>HYPERLINK("http://www.epingalert.org/#/details/G/SPS/N/JPN/364")</f>
        <v>http://www.epingalert.org/#/details/G/SPS/N/JPN/364</v>
      </c>
      <c r="O1483" s="2"/>
    </row>
    <row r="1484" spans="1:15" ht="240" customHeight="1" outlineLevel="1" x14ac:dyDescent="0.25">
      <c r="A1484" s="2" t="s">
        <v>115</v>
      </c>
      <c r="B1484" s="2" t="s">
        <v>8232</v>
      </c>
      <c r="C1484" s="2" t="s">
        <v>6754</v>
      </c>
      <c r="D1484" s="2" t="s">
        <v>8233</v>
      </c>
      <c r="E1484" s="3">
        <v>41887</v>
      </c>
      <c r="F1484" s="2" t="s">
        <v>8234</v>
      </c>
      <c r="G1484" s="2" t="s">
        <v>8235</v>
      </c>
      <c r="H1484" s="2" t="s">
        <v>2573</v>
      </c>
      <c r="I1484" s="2" t="s">
        <v>5419</v>
      </c>
      <c r="J1484" s="3">
        <v>41947</v>
      </c>
      <c r="K1484" s="2" t="str">
        <f>HYPERLINK("https://docs.wto.org/imrd/directdoc.asp?DDFDocuments/t/G/SPS/NJPN363.DOC")</f>
        <v>https://docs.wto.org/imrd/directdoc.asp?DDFDocuments/t/G/SPS/NJPN363.DOC</v>
      </c>
      <c r="L1484" s="2" t="str">
        <f>HYPERLINK("https://docs.wto.org/imrd/directdoc.asp?DDFDocuments/u/G/SPS/NJPN363.DOC")</f>
        <v>https://docs.wto.org/imrd/directdoc.asp?DDFDocuments/u/G/SPS/NJPN363.DOC</v>
      </c>
      <c r="M1484" s="2" t="str">
        <f>HYPERLINK("https://docs.wto.org/imrd/directdoc.asp?DDFDocuments/v/G/SPS/NJPN363.DOC")</f>
        <v>https://docs.wto.org/imrd/directdoc.asp?DDFDocuments/v/G/SPS/NJPN363.DOC</v>
      </c>
      <c r="N1484" s="2" t="str">
        <f>HYPERLINK("http://www.epingalert.org/#/details/G/SPS/N/JPN/363")</f>
        <v>http://www.epingalert.org/#/details/G/SPS/N/JPN/363</v>
      </c>
      <c r="O1484" s="2"/>
    </row>
    <row r="1485" spans="1:15" ht="240" customHeight="1" outlineLevel="1" x14ac:dyDescent="0.25">
      <c r="A1485" s="2" t="s">
        <v>115</v>
      </c>
      <c r="B1485" s="2" t="s">
        <v>8236</v>
      </c>
      <c r="C1485" s="2" t="s">
        <v>6754</v>
      </c>
      <c r="D1485" s="2" t="s">
        <v>8237</v>
      </c>
      <c r="E1485" s="3">
        <v>41887</v>
      </c>
      <c r="F1485" s="2" t="s">
        <v>8238</v>
      </c>
      <c r="G1485" s="2" t="s">
        <v>8239</v>
      </c>
      <c r="H1485" s="2" t="s">
        <v>2573</v>
      </c>
      <c r="I1485" s="2" t="s">
        <v>5419</v>
      </c>
      <c r="J1485" s="3">
        <v>41947</v>
      </c>
      <c r="K1485" s="2" t="str">
        <f>HYPERLINK("https://docs.wto.org/imrd/directdoc.asp?DDFDocuments/t/G/SPS/NJPN362.DOC")</f>
        <v>https://docs.wto.org/imrd/directdoc.asp?DDFDocuments/t/G/SPS/NJPN362.DOC</v>
      </c>
      <c r="L1485" s="2" t="str">
        <f>HYPERLINK("https://docs.wto.org/imrd/directdoc.asp?DDFDocuments/u/G/SPS/NJPN362.DOC")</f>
        <v>https://docs.wto.org/imrd/directdoc.asp?DDFDocuments/u/G/SPS/NJPN362.DOC</v>
      </c>
      <c r="M1485" s="2" t="str">
        <f>HYPERLINK("https://docs.wto.org/imrd/directdoc.asp?DDFDocuments/v/G/SPS/NJPN362.DOC")</f>
        <v>https://docs.wto.org/imrd/directdoc.asp?DDFDocuments/v/G/SPS/NJPN362.DOC</v>
      </c>
      <c r="N1485" s="2" t="str">
        <f>HYPERLINK("http://www.epingalert.org/#/details/G/SPS/N/JPN/362")</f>
        <v>http://www.epingalert.org/#/details/G/SPS/N/JPN/362</v>
      </c>
      <c r="O1485" s="2"/>
    </row>
    <row r="1486" spans="1:15" ht="240" customHeight="1" outlineLevel="1" x14ac:dyDescent="0.25">
      <c r="A1486" s="2" t="s">
        <v>1908</v>
      </c>
      <c r="B1486" s="2" t="s">
        <v>8222</v>
      </c>
      <c r="C1486" s="2"/>
      <c r="D1486" s="2"/>
      <c r="E1486" s="3">
        <v>41887</v>
      </c>
      <c r="F1486" s="2" t="s">
        <v>8223</v>
      </c>
      <c r="G1486" s="2" t="s">
        <v>6799</v>
      </c>
      <c r="H1486" s="2" t="s">
        <v>2573</v>
      </c>
      <c r="I1486" s="2" t="s">
        <v>2444</v>
      </c>
      <c r="J1486" s="2"/>
      <c r="K1486" s="2" t="str">
        <f>HYPERLINK("https://docs.wto.org/imrd/directdoc.asp?DDFDocuments/t/G/SPS/NCAN805A1.DOC")</f>
        <v>https://docs.wto.org/imrd/directdoc.asp?DDFDocuments/t/G/SPS/NCAN805A1.DOC</v>
      </c>
      <c r="L1486" s="2" t="str">
        <f>HYPERLINK("https://docs.wto.org/imrd/directdoc.asp?DDFDocuments/u/G/SPS/NCAN805A1.DOC")</f>
        <v>https://docs.wto.org/imrd/directdoc.asp?DDFDocuments/u/G/SPS/NCAN805A1.DOC</v>
      </c>
      <c r="M1486" s="2" t="str">
        <f>HYPERLINK("https://docs.wto.org/imrd/directdoc.asp?DDFDocuments/v/G/SPS/NCAN805A1.DOC")</f>
        <v>https://docs.wto.org/imrd/directdoc.asp?DDFDocuments/v/G/SPS/NCAN805A1.DOC</v>
      </c>
      <c r="N1486" s="2" t="str">
        <f>HYPERLINK("http://www.epingalert.org/#/details/G/SPS/N/CAN/805/Add.1")</f>
        <v>http://www.epingalert.org/#/details/G/SPS/N/CAN/805/Add.1</v>
      </c>
      <c r="O1486" s="2"/>
    </row>
    <row r="1487" spans="1:15" ht="240" customHeight="1" outlineLevel="1" x14ac:dyDescent="0.25">
      <c r="A1487" s="2" t="s">
        <v>154</v>
      </c>
      <c r="B1487" s="2" t="s">
        <v>5688</v>
      </c>
      <c r="C1487" s="2" t="s">
        <v>5689</v>
      </c>
      <c r="D1487" s="2" t="s">
        <v>5690</v>
      </c>
      <c r="E1487" s="3">
        <v>41885</v>
      </c>
      <c r="F1487" s="2" t="s">
        <v>5691</v>
      </c>
      <c r="G1487" s="2" t="s">
        <v>4411</v>
      </c>
      <c r="H1487" s="2" t="s">
        <v>2573</v>
      </c>
      <c r="I1487" s="2" t="s">
        <v>2461</v>
      </c>
      <c r="J1487" s="3">
        <v>41945</v>
      </c>
      <c r="K1487" s="2" t="str">
        <f>HYPERLINK("https://docs.wto.org/imrd/directdoc.asp?DDFDocuments/t/G/SPS/NIDN94.DOC")</f>
        <v>https://docs.wto.org/imrd/directdoc.asp?DDFDocuments/t/G/SPS/NIDN94.DOC</v>
      </c>
      <c r="L1487" s="2" t="str">
        <f>HYPERLINK("https://docs.wto.org/imrd/directdoc.asp?DDFDocuments/u/G/SPS/NIDN94.DOC")</f>
        <v>https://docs.wto.org/imrd/directdoc.asp?DDFDocuments/u/G/SPS/NIDN94.DOC</v>
      </c>
      <c r="M1487" s="2" t="str">
        <f>HYPERLINK("https://docs.wto.org/imrd/directdoc.asp?DDFDocuments/v/G/SPS/NIDN94.DOC")</f>
        <v>https://docs.wto.org/imrd/directdoc.asp?DDFDocuments/v/G/SPS/NIDN94.DOC</v>
      </c>
      <c r="N1487" s="2" t="str">
        <f>HYPERLINK("http://www.epingalert.org/#/details/G/SPS/N/IDN/94")</f>
        <v>http://www.epingalert.org/#/details/G/SPS/N/IDN/94</v>
      </c>
      <c r="O1487" s="2"/>
    </row>
    <row r="1488" spans="1:15" ht="240" customHeight="1" outlineLevel="1" x14ac:dyDescent="0.25">
      <c r="A1488" s="2" t="s">
        <v>12</v>
      </c>
      <c r="B1488" s="2" t="s">
        <v>5687</v>
      </c>
      <c r="C1488" s="2"/>
      <c r="D1488" s="2"/>
      <c r="E1488" s="3">
        <v>41885</v>
      </c>
      <c r="F1488" s="2" t="s">
        <v>2451</v>
      </c>
      <c r="G1488" s="2"/>
      <c r="H1488" s="2" t="s">
        <v>2573</v>
      </c>
      <c r="I1488" s="2" t="s">
        <v>2672</v>
      </c>
      <c r="J1488" s="3">
        <v>41914</v>
      </c>
      <c r="K1488" s="2" t="str">
        <f>HYPERLINK("https://docs.wto.org/imrd/directdoc.asp?DDFDocuments/t/G/SPS/NEU87A1.DOC")</f>
        <v>https://docs.wto.org/imrd/directdoc.asp?DDFDocuments/t/G/SPS/NEU87A1.DOC</v>
      </c>
      <c r="L1488" s="2" t="str">
        <f>HYPERLINK("https://docs.wto.org/imrd/directdoc.asp?DDFDocuments/u/G/SPS/NEU87A1.DOC")</f>
        <v>https://docs.wto.org/imrd/directdoc.asp?DDFDocuments/u/G/SPS/NEU87A1.DOC</v>
      </c>
      <c r="M1488" s="2" t="str">
        <f>HYPERLINK("https://docs.wto.org/imrd/directdoc.asp?DDFDocuments/v/G/SPS/NEU87A1.DOC")</f>
        <v>https://docs.wto.org/imrd/directdoc.asp?DDFDocuments/v/G/SPS/NEU87A1.DOC</v>
      </c>
      <c r="N1488" s="2" t="str">
        <f>HYPERLINK("http://www.epingalert.org/#/details/G/SPS/N/EU/87/Add.1")</f>
        <v>http://www.epingalert.org/#/details/G/SPS/N/EU/87/Add.1</v>
      </c>
      <c r="O1488" s="2"/>
    </row>
    <row r="1489" spans="1:15" ht="240" customHeight="1" outlineLevel="1" x14ac:dyDescent="0.25">
      <c r="A1489" s="2" t="s">
        <v>77</v>
      </c>
      <c r="B1489" s="2" t="s">
        <v>8240</v>
      </c>
      <c r="C1489" s="2"/>
      <c r="D1489" s="2"/>
      <c r="E1489" s="3">
        <v>41885</v>
      </c>
      <c r="F1489" s="2" t="s">
        <v>8241</v>
      </c>
      <c r="G1489" s="2" t="s">
        <v>8242</v>
      </c>
      <c r="H1489" s="2" t="s">
        <v>2467</v>
      </c>
      <c r="I1489" s="2" t="s">
        <v>2444</v>
      </c>
      <c r="J1489" s="2"/>
      <c r="K1489" s="2" t="str">
        <f>HYPERLINK("https://docs.wto.org/imrd/directdoc.asp?DDFDocuments/t/G/SPS/NTPKM318A1.DOC")</f>
        <v>https://docs.wto.org/imrd/directdoc.asp?DDFDocuments/t/G/SPS/NTPKM318A1.DOC</v>
      </c>
      <c r="L1489" s="2" t="str">
        <f>HYPERLINK("https://docs.wto.org/imrd/directdoc.asp?DDFDocuments/u/G/SPS/NTPKM318A1.DOC")</f>
        <v>https://docs.wto.org/imrd/directdoc.asp?DDFDocuments/u/G/SPS/NTPKM318A1.DOC</v>
      </c>
      <c r="M1489" s="2" t="str">
        <f>HYPERLINK("https://docs.wto.org/imrd/directdoc.asp?DDFDocuments/v/G/SPS/NTPKM318A1.DOC")</f>
        <v>https://docs.wto.org/imrd/directdoc.asp?DDFDocuments/v/G/SPS/NTPKM318A1.DOC</v>
      </c>
      <c r="N1489" s="2" t="str">
        <f>HYPERLINK("http://www.epingalert.org/#/details/G/SPS/N/TPKM/318/Add.1")</f>
        <v>http://www.epingalert.org/#/details/G/SPS/N/TPKM/318/Add.1</v>
      </c>
      <c r="O1489" s="2"/>
    </row>
    <row r="1490" spans="1:15" ht="240" customHeight="1" outlineLevel="1" x14ac:dyDescent="0.25">
      <c r="A1490" s="2" t="s">
        <v>562</v>
      </c>
      <c r="B1490" s="2" t="s">
        <v>5694</v>
      </c>
      <c r="C1490" s="2"/>
      <c r="D1490" s="2"/>
      <c r="E1490" s="3">
        <v>41884</v>
      </c>
      <c r="F1490" s="2" t="s">
        <v>46</v>
      </c>
      <c r="G1490" s="2"/>
      <c r="H1490" s="2" t="s">
        <v>2573</v>
      </c>
      <c r="I1490" s="2" t="s">
        <v>2672</v>
      </c>
      <c r="J1490" s="3">
        <v>41944</v>
      </c>
      <c r="K1490" s="2" t="str">
        <f>HYPERLINK("https://docs.wto.org/imrd/directdoc.asp?DDFDocuments/t/G/SPS/NSGP52A3.DOC")</f>
        <v>https://docs.wto.org/imrd/directdoc.asp?DDFDocuments/t/G/SPS/NSGP52A3.DOC</v>
      </c>
      <c r="L1490" s="2" t="str">
        <f>HYPERLINK("https://docs.wto.org/imrd/directdoc.asp?DDFDocuments/u/G/SPS/NSGP52A3.DOC")</f>
        <v>https://docs.wto.org/imrd/directdoc.asp?DDFDocuments/u/G/SPS/NSGP52A3.DOC</v>
      </c>
      <c r="M1490" s="2" t="str">
        <f>HYPERLINK("https://docs.wto.org/imrd/directdoc.asp?DDFDocuments/v/G/SPS/NSGP52A3.DOC")</f>
        <v>https://docs.wto.org/imrd/directdoc.asp?DDFDocuments/v/G/SPS/NSGP52A3.DOC</v>
      </c>
      <c r="N1490" s="2" t="str">
        <f>HYPERLINK("http://www.epingalert.org/#/details/G/SPS/N/SGP/52/Add.3")</f>
        <v>http://www.epingalert.org/#/details/G/SPS/N/SGP/52/Add.3</v>
      </c>
      <c r="O1490" s="2"/>
    </row>
    <row r="1491" spans="1:15" ht="240" customHeight="1" outlineLevel="1" x14ac:dyDescent="0.25">
      <c r="A1491" s="2" t="s">
        <v>1908</v>
      </c>
      <c r="B1491" s="2" t="s">
        <v>5692</v>
      </c>
      <c r="C1491" s="2"/>
      <c r="D1491" s="2"/>
      <c r="E1491" s="3">
        <v>41884</v>
      </c>
      <c r="F1491" s="2" t="s">
        <v>5693</v>
      </c>
      <c r="G1491" s="2"/>
      <c r="H1491" s="2" t="s">
        <v>2573</v>
      </c>
      <c r="I1491" s="2" t="s">
        <v>2444</v>
      </c>
      <c r="J1491" s="2"/>
      <c r="K1491" s="2" t="str">
        <f>HYPERLINK("https://docs.wto.org/imrd/directdoc.asp?DDFDocuments/t/G/SPS/NCAN811A1.DOC")</f>
        <v>https://docs.wto.org/imrd/directdoc.asp?DDFDocuments/t/G/SPS/NCAN811A1.DOC</v>
      </c>
      <c r="L1491" s="2" t="str">
        <f>HYPERLINK("https://docs.wto.org/imrd/directdoc.asp?DDFDocuments/u/G/SPS/NCAN811A1.DOC")</f>
        <v>https://docs.wto.org/imrd/directdoc.asp?DDFDocuments/u/G/SPS/NCAN811A1.DOC</v>
      </c>
      <c r="M1491" s="2" t="str">
        <f>HYPERLINK("https://docs.wto.org/imrd/directdoc.asp?DDFDocuments/v/G/SPS/NCAN811A1.DOC")</f>
        <v>https://docs.wto.org/imrd/directdoc.asp?DDFDocuments/v/G/SPS/NCAN811A1.DOC</v>
      </c>
      <c r="N1491" s="2" t="str">
        <f>HYPERLINK("http://www.epingalert.org/#/details/G/SPS/N/CAN/811/Add.1")</f>
        <v>http://www.epingalert.org/#/details/G/SPS/N/CAN/811/Add.1</v>
      </c>
      <c r="O1491" s="2"/>
    </row>
    <row r="1492" spans="1:15" ht="240" customHeight="1" outlineLevel="1" x14ac:dyDescent="0.25">
      <c r="A1492" s="2" t="s">
        <v>115</v>
      </c>
      <c r="B1492" s="2" t="s">
        <v>5698</v>
      </c>
      <c r="C1492" s="2" t="s">
        <v>5699</v>
      </c>
      <c r="D1492" s="2" t="s">
        <v>5700</v>
      </c>
      <c r="E1492" s="3">
        <v>41880</v>
      </c>
      <c r="F1492" s="2" t="s">
        <v>5701</v>
      </c>
      <c r="G1492" s="2"/>
      <c r="H1492" s="2" t="s">
        <v>2573</v>
      </c>
      <c r="I1492" s="2" t="s">
        <v>5702</v>
      </c>
      <c r="J1492" s="3">
        <v>41940</v>
      </c>
      <c r="K1492" s="2" t="str">
        <f>HYPERLINK("https://docs.wto.org/imrd/directdoc.asp?DDFDocuments/t/G/SPS/NJPN361.DOC")</f>
        <v>https://docs.wto.org/imrd/directdoc.asp?DDFDocuments/t/G/SPS/NJPN361.DOC</v>
      </c>
      <c r="L1492" s="2" t="str">
        <f>HYPERLINK("https://docs.wto.org/imrd/directdoc.asp?DDFDocuments/u/G/SPS/NJPN361.DOC")</f>
        <v>https://docs.wto.org/imrd/directdoc.asp?DDFDocuments/u/G/SPS/NJPN361.DOC</v>
      </c>
      <c r="M1492" s="2" t="str">
        <f>HYPERLINK("https://docs.wto.org/imrd/directdoc.asp?DDFDocuments/v/G/SPS/NJPN361.DOC")</f>
        <v>https://docs.wto.org/imrd/directdoc.asp?DDFDocuments/v/G/SPS/NJPN361.DOC</v>
      </c>
      <c r="N1492" s="2" t="str">
        <f>HYPERLINK("http://www.epingalert.org/#/details/G/SPS/N/JPN/361")</f>
        <v>http://www.epingalert.org/#/details/G/SPS/N/JPN/361</v>
      </c>
      <c r="O1492" s="2"/>
    </row>
    <row r="1493" spans="1:15" ht="240" customHeight="1" outlineLevel="1" x14ac:dyDescent="0.25">
      <c r="A1493" s="2" t="s">
        <v>211</v>
      </c>
      <c r="B1493" s="2" t="s">
        <v>5695</v>
      </c>
      <c r="C1493" s="2" t="s">
        <v>5696</v>
      </c>
      <c r="D1493" s="2" t="s">
        <v>5697</v>
      </c>
      <c r="E1493" s="3">
        <v>41880</v>
      </c>
      <c r="F1493" s="2" t="s">
        <v>4234</v>
      </c>
      <c r="G1493" s="2"/>
      <c r="H1493" s="2" t="s">
        <v>2573</v>
      </c>
      <c r="I1493" s="2" t="s">
        <v>2453</v>
      </c>
      <c r="J1493" s="3">
        <v>41938</v>
      </c>
      <c r="K1493" s="2" t="str">
        <f>HYPERLINK("https://docs.wto.org/imrd/directdoc.asp?DDFDocuments/t/G/SPS/NNZL508.DOC")</f>
        <v>https://docs.wto.org/imrd/directdoc.asp?DDFDocuments/t/G/SPS/NNZL508.DOC</v>
      </c>
      <c r="L1493" s="2" t="str">
        <f>HYPERLINK("https://docs.wto.org/imrd/directdoc.asp?DDFDocuments/u/G/SPS/NNZL508.DOC")</f>
        <v>https://docs.wto.org/imrd/directdoc.asp?DDFDocuments/u/G/SPS/NNZL508.DOC</v>
      </c>
      <c r="M1493" s="2" t="str">
        <f>HYPERLINK("https://docs.wto.org/imrd/directdoc.asp?DDFDocuments/v/G/SPS/NNZL508.DOC")</f>
        <v>https://docs.wto.org/imrd/directdoc.asp?DDFDocuments/v/G/SPS/NNZL508.DOC</v>
      </c>
      <c r="N1493" s="2" t="str">
        <f>HYPERLINK("http://www.epingalert.org/#/details/G/SPS/N/NZL/508")</f>
        <v>http://www.epingalert.org/#/details/G/SPS/N/NZL/508</v>
      </c>
      <c r="O1493" s="2"/>
    </row>
    <row r="1494" spans="1:15" ht="240" customHeight="1" outlineLevel="1" x14ac:dyDescent="0.25">
      <c r="A1494" s="2" t="s">
        <v>282</v>
      </c>
      <c r="B1494" s="2" t="s">
        <v>8243</v>
      </c>
      <c r="C1494" s="2" t="s">
        <v>8244</v>
      </c>
      <c r="D1494" s="2" t="s">
        <v>8245</v>
      </c>
      <c r="E1494" s="3">
        <v>41878</v>
      </c>
      <c r="F1494" s="2" t="s">
        <v>8246</v>
      </c>
      <c r="G1494" s="2" t="s">
        <v>8247</v>
      </c>
      <c r="H1494" s="2" t="s">
        <v>2573</v>
      </c>
      <c r="I1494" s="2" t="s">
        <v>2461</v>
      </c>
      <c r="J1494" s="2"/>
      <c r="K1494" s="2" t="str">
        <f>HYPERLINK("https://docs.wto.org/imrd/directdoc.asp?DDFDocuments/t/G/SPS/NRUS74.DOC")</f>
        <v>https://docs.wto.org/imrd/directdoc.asp?DDFDocuments/t/G/SPS/NRUS74.DOC</v>
      </c>
      <c r="L1494" s="2" t="str">
        <f>HYPERLINK("https://docs.wto.org/imrd/directdoc.asp?DDFDocuments/u/G/SPS/NRUS74.DOC")</f>
        <v>https://docs.wto.org/imrd/directdoc.asp?DDFDocuments/u/G/SPS/NRUS74.DOC</v>
      </c>
      <c r="M1494" s="2" t="str">
        <f>HYPERLINK("https://docs.wto.org/imrd/directdoc.asp?DDFDocuments/v/G/SPS/NRUS74.DOC")</f>
        <v>https://docs.wto.org/imrd/directdoc.asp?DDFDocuments/v/G/SPS/NRUS74.DOC</v>
      </c>
      <c r="N1494" s="2" t="str">
        <f>HYPERLINK("http://www.epingalert.org/#/details/G/SPS/N/RUS/74")</f>
        <v>http://www.epingalert.org/#/details/G/SPS/N/RUS/74</v>
      </c>
      <c r="O1494" s="2"/>
    </row>
    <row r="1495" spans="1:15" ht="240" customHeight="1" outlineLevel="1" x14ac:dyDescent="0.25">
      <c r="A1495" s="2" t="s">
        <v>1908</v>
      </c>
      <c r="B1495" s="2" t="s">
        <v>8248</v>
      </c>
      <c r="C1495" s="2" t="s">
        <v>8249</v>
      </c>
      <c r="D1495" s="2" t="s">
        <v>8250</v>
      </c>
      <c r="E1495" s="3">
        <v>41877</v>
      </c>
      <c r="F1495" s="2" t="s">
        <v>8251</v>
      </c>
      <c r="G1495" s="2" t="s">
        <v>2292</v>
      </c>
      <c r="H1495" s="2" t="s">
        <v>2573</v>
      </c>
      <c r="I1495" s="2" t="s">
        <v>2426</v>
      </c>
      <c r="J1495" s="3">
        <v>41945</v>
      </c>
      <c r="K1495" s="2" t="str">
        <f>HYPERLINK("https://docs.wto.org/imrd/directdoc.asp?DDFDocuments/t/G/SPS/NCAN867.DOC")</f>
        <v>https://docs.wto.org/imrd/directdoc.asp?DDFDocuments/t/G/SPS/NCAN867.DOC</v>
      </c>
      <c r="L1495" s="2" t="str">
        <f>HYPERLINK("https://docs.wto.org/imrd/directdoc.asp?DDFDocuments/u/G/SPS/NCAN867.DOC")</f>
        <v>https://docs.wto.org/imrd/directdoc.asp?DDFDocuments/u/G/SPS/NCAN867.DOC</v>
      </c>
      <c r="M1495" s="2" t="str">
        <f>HYPERLINK("https://docs.wto.org/imrd/directdoc.asp?DDFDocuments/v/G/SPS/NCAN867.DOC")</f>
        <v>https://docs.wto.org/imrd/directdoc.asp?DDFDocuments/v/G/SPS/NCAN867.DOC</v>
      </c>
      <c r="N1495" s="2" t="str">
        <f>HYPERLINK("http://www.epingalert.org/#/details/G/SPS/N/CAN/867")</f>
        <v>http://www.epingalert.org/#/details/G/SPS/N/CAN/867</v>
      </c>
      <c r="O1495" s="2"/>
    </row>
    <row r="1496" spans="1:15" ht="240" customHeight="1" outlineLevel="1" x14ac:dyDescent="0.25">
      <c r="A1496" s="2" t="s">
        <v>25</v>
      </c>
      <c r="B1496" s="2" t="s">
        <v>5704</v>
      </c>
      <c r="C1496" s="2" t="s">
        <v>5705</v>
      </c>
      <c r="D1496" s="2" t="s">
        <v>5706</v>
      </c>
      <c r="E1496" s="3">
        <v>41877</v>
      </c>
      <c r="F1496" s="2" t="s">
        <v>5707</v>
      </c>
      <c r="G1496" s="2" t="s">
        <v>5708</v>
      </c>
      <c r="H1496" s="2" t="s">
        <v>2573</v>
      </c>
      <c r="I1496" s="2" t="s">
        <v>5709</v>
      </c>
      <c r="J1496" s="3">
        <v>41937</v>
      </c>
      <c r="K1496" s="2" t="str">
        <f>HYPERLINK("https://docs.wto.org/imrd/directdoc.asp?DDFDocuments/t/G/SPS/NKOR485.DOC")</f>
        <v>https://docs.wto.org/imrd/directdoc.asp?DDFDocuments/t/G/SPS/NKOR485.DOC</v>
      </c>
      <c r="L1496" s="2" t="str">
        <f>HYPERLINK("https://docs.wto.org/imrd/directdoc.asp?DDFDocuments/u/G/SPS/NKOR485.DOC")</f>
        <v>https://docs.wto.org/imrd/directdoc.asp?DDFDocuments/u/G/SPS/NKOR485.DOC</v>
      </c>
      <c r="M1496" s="2" t="str">
        <f>HYPERLINK("https://docs.wto.org/imrd/directdoc.asp?DDFDocuments/v/G/SPS/NKOR485.DOC")</f>
        <v>https://docs.wto.org/imrd/directdoc.asp?DDFDocuments/v/G/SPS/NKOR485.DOC</v>
      </c>
      <c r="N1496" s="2" t="str">
        <f>HYPERLINK("http://www.epingalert.org/#/details/G/SPS/N/KOR/485")</f>
        <v>http://www.epingalert.org/#/details/G/SPS/N/KOR/485</v>
      </c>
      <c r="O1496" s="2"/>
    </row>
    <row r="1497" spans="1:15" ht="240" customHeight="1" outlineLevel="1" x14ac:dyDescent="0.25">
      <c r="A1497" s="2" t="s">
        <v>1908</v>
      </c>
      <c r="B1497" s="2" t="s">
        <v>5703</v>
      </c>
      <c r="C1497" s="2"/>
      <c r="D1497" s="2"/>
      <c r="E1497" s="3">
        <v>41877</v>
      </c>
      <c r="F1497" s="2" t="s">
        <v>4542</v>
      </c>
      <c r="G1497" s="2"/>
      <c r="H1497" s="2" t="s">
        <v>2573</v>
      </c>
      <c r="I1497" s="2" t="s">
        <v>2444</v>
      </c>
      <c r="J1497" s="2"/>
      <c r="K1497" s="2" t="str">
        <f>HYPERLINK("https://docs.wto.org/imrd/directdoc.asp?DDFDocuments/t/G/SPS/NCAN636A1.DOC")</f>
        <v>https://docs.wto.org/imrd/directdoc.asp?DDFDocuments/t/G/SPS/NCAN636A1.DOC</v>
      </c>
      <c r="L1497" s="2" t="str">
        <f>HYPERLINK("https://docs.wto.org/imrd/directdoc.asp?DDFDocuments/u/G/SPS/NCAN636A1.DOC")</f>
        <v>https://docs.wto.org/imrd/directdoc.asp?DDFDocuments/u/G/SPS/NCAN636A1.DOC</v>
      </c>
      <c r="M1497" s="2" t="str">
        <f>HYPERLINK("https://docs.wto.org/imrd/directdoc.asp?DDFDocuments/v/G/SPS/NCAN636A1.DOC")</f>
        <v>https://docs.wto.org/imrd/directdoc.asp?DDFDocuments/v/G/SPS/NCAN636A1.DOC</v>
      </c>
      <c r="N1497" s="2" t="str">
        <f>HYPERLINK("http://www.epingalert.org/#/details/G/SPS/N/CAN/636/Add.1")</f>
        <v>http://www.epingalert.org/#/details/G/SPS/N/CAN/636/Add.1</v>
      </c>
      <c r="O1497" s="2"/>
    </row>
    <row r="1498" spans="1:15" ht="240" customHeight="1" outlineLevel="1" x14ac:dyDescent="0.25">
      <c r="A1498" s="2" t="s">
        <v>1908</v>
      </c>
      <c r="B1498" s="2" t="s">
        <v>5710</v>
      </c>
      <c r="C1498" s="2"/>
      <c r="D1498" s="2"/>
      <c r="E1498" s="3">
        <v>41876</v>
      </c>
      <c r="F1498" s="2" t="s">
        <v>5711</v>
      </c>
      <c r="G1498" s="2"/>
      <c r="H1498" s="2" t="s">
        <v>2573</v>
      </c>
      <c r="I1498" s="2" t="s">
        <v>2444</v>
      </c>
      <c r="J1498" s="2"/>
      <c r="K1498" s="2" t="str">
        <f>HYPERLINK("https://docs.wto.org/imrd/directdoc.asp?DDFDocuments/t/G/SPS/NCAN821A1.DOC")</f>
        <v>https://docs.wto.org/imrd/directdoc.asp?DDFDocuments/t/G/SPS/NCAN821A1.DOC</v>
      </c>
      <c r="L1498" s="2" t="str">
        <f>HYPERLINK("https://docs.wto.org/imrd/directdoc.asp?DDFDocuments/u/G/SPS/NCAN821A1.DOC")</f>
        <v>https://docs.wto.org/imrd/directdoc.asp?DDFDocuments/u/G/SPS/NCAN821A1.DOC</v>
      </c>
      <c r="M1498" s="2" t="str">
        <f>HYPERLINK("https://docs.wto.org/imrd/directdoc.asp?DDFDocuments/v/G/SPS/NCAN821A1.DOC")</f>
        <v>https://docs.wto.org/imrd/directdoc.asp?DDFDocuments/v/G/SPS/NCAN821A1.DOC</v>
      </c>
      <c r="N1498" s="2" t="str">
        <f>HYPERLINK("http://www.epingalert.org/#/details/G/SPS/N/CAN/821/Add.1")</f>
        <v>http://www.epingalert.org/#/details/G/SPS/N/CAN/821/Add.1</v>
      </c>
      <c r="O1498" s="2"/>
    </row>
    <row r="1499" spans="1:15" ht="240" customHeight="1" outlineLevel="1" x14ac:dyDescent="0.25">
      <c r="A1499" s="2" t="s">
        <v>18</v>
      </c>
      <c r="B1499" s="2" t="s">
        <v>8252</v>
      </c>
      <c r="C1499" s="2"/>
      <c r="D1499" s="2"/>
      <c r="E1499" s="3">
        <v>41876</v>
      </c>
      <c r="F1499" s="2" t="s">
        <v>8253</v>
      </c>
      <c r="G1499" s="2" t="s">
        <v>6736</v>
      </c>
      <c r="H1499" s="2" t="s">
        <v>2573</v>
      </c>
      <c r="I1499" s="2" t="s">
        <v>2444</v>
      </c>
      <c r="J1499" s="2"/>
      <c r="K1499" s="2" t="str">
        <f>HYPERLINK("https://docs.wto.org/imrd/directdoc.asp?DDFDocuments/t/G/SPS/NUSA2371A1.DOC")</f>
        <v>https://docs.wto.org/imrd/directdoc.asp?DDFDocuments/t/G/SPS/NUSA2371A1.DOC</v>
      </c>
      <c r="L1499" s="2" t="str">
        <f>HYPERLINK("https://docs.wto.org/imrd/directdoc.asp?DDFDocuments/u/G/SPS/NUSA2371A1.DOC")</f>
        <v>https://docs.wto.org/imrd/directdoc.asp?DDFDocuments/u/G/SPS/NUSA2371A1.DOC</v>
      </c>
      <c r="M1499" s="2" t="str">
        <f>HYPERLINK("https://docs.wto.org/imrd/directdoc.asp?DDFDocuments/v/G/SPS/NUSA2371A1.DOC")</f>
        <v>https://docs.wto.org/imrd/directdoc.asp?DDFDocuments/v/G/SPS/NUSA2371A1.DOC</v>
      </c>
      <c r="N1499" s="2" t="str">
        <f>HYPERLINK("http://www.epingalert.org/#/details/G/SPS/N/USA/2371/Add.1")</f>
        <v>http://www.epingalert.org/#/details/G/SPS/N/USA/2371/Add.1</v>
      </c>
      <c r="O1499" s="2"/>
    </row>
    <row r="1500" spans="1:15" ht="240" customHeight="1" outlineLevel="1" x14ac:dyDescent="0.25">
      <c r="A1500" s="2" t="s">
        <v>282</v>
      </c>
      <c r="B1500" s="2" t="s">
        <v>8254</v>
      </c>
      <c r="C1500" s="2" t="s">
        <v>8255</v>
      </c>
      <c r="D1500" s="2" t="s">
        <v>8256</v>
      </c>
      <c r="E1500" s="3">
        <v>41873</v>
      </c>
      <c r="F1500" s="2" t="s">
        <v>8257</v>
      </c>
      <c r="G1500" s="2" t="s">
        <v>8258</v>
      </c>
      <c r="H1500" s="2" t="s">
        <v>2467</v>
      </c>
      <c r="I1500" s="2" t="s">
        <v>8259</v>
      </c>
      <c r="J1500" s="3">
        <v>41933</v>
      </c>
      <c r="K1500" s="2" t="str">
        <f>HYPERLINK("https://docs.wto.org/imrd/directdoc.asp?DDFDocuments/t/G/SPS/NRUS73.DOC")</f>
        <v>https://docs.wto.org/imrd/directdoc.asp?DDFDocuments/t/G/SPS/NRUS73.DOC</v>
      </c>
      <c r="L1500" s="2" t="str">
        <f>HYPERLINK("https://docs.wto.org/imrd/directdoc.asp?DDFDocuments/u/G/SPS/NRUS73.DOC")</f>
        <v>https://docs.wto.org/imrd/directdoc.asp?DDFDocuments/u/G/SPS/NRUS73.DOC</v>
      </c>
      <c r="M1500" s="2" t="str">
        <f>HYPERLINK("https://docs.wto.org/imrd/directdoc.asp?DDFDocuments/v/G/SPS/NRUS73.DOC")</f>
        <v>https://docs.wto.org/imrd/directdoc.asp?DDFDocuments/v/G/SPS/NRUS73.DOC</v>
      </c>
      <c r="N1500" s="2" t="str">
        <f>HYPERLINK("http://www.epingalert.org/#/details/G/SPS/N/RUS/73")</f>
        <v>http://www.epingalert.org/#/details/G/SPS/N/RUS/73</v>
      </c>
      <c r="O1500" s="2"/>
    </row>
    <row r="1501" spans="1:15" ht="240" customHeight="1" outlineLevel="1" x14ac:dyDescent="0.25">
      <c r="A1501" s="2" t="s">
        <v>282</v>
      </c>
      <c r="B1501" s="2" t="s">
        <v>8260</v>
      </c>
      <c r="C1501" s="2" t="s">
        <v>8261</v>
      </c>
      <c r="D1501" s="2" t="s">
        <v>8262</v>
      </c>
      <c r="E1501" s="3">
        <v>41871</v>
      </c>
      <c r="F1501" s="2" t="s">
        <v>8263</v>
      </c>
      <c r="G1501" s="2" t="s">
        <v>8264</v>
      </c>
      <c r="H1501" s="2" t="s">
        <v>2573</v>
      </c>
      <c r="I1501" s="2" t="s">
        <v>2461</v>
      </c>
      <c r="J1501" s="2"/>
      <c r="K1501" s="2" t="str">
        <f>HYPERLINK("https://docs.wto.org/imrd/directdoc.asp?DDFDocuments/t/G/SPS/NRUS72.DOC")</f>
        <v>https://docs.wto.org/imrd/directdoc.asp?DDFDocuments/t/G/SPS/NRUS72.DOC</v>
      </c>
      <c r="L1501" s="2" t="str">
        <f>HYPERLINK("https://docs.wto.org/imrd/directdoc.asp?DDFDocuments/u/G/SPS/NRUS72.DOC")</f>
        <v>https://docs.wto.org/imrd/directdoc.asp?DDFDocuments/u/G/SPS/NRUS72.DOC</v>
      </c>
      <c r="M1501" s="2" t="str">
        <f>HYPERLINK("https://docs.wto.org/imrd/directdoc.asp?DDFDocuments/v/G/SPS/NRUS72.DOC")</f>
        <v>https://docs.wto.org/imrd/directdoc.asp?DDFDocuments/v/G/SPS/NRUS72.DOC</v>
      </c>
      <c r="N1501" s="2" t="str">
        <f>HYPERLINK("http://www.epingalert.org/#/details/G/SPS/N/RUS/72")</f>
        <v>http://www.epingalert.org/#/details/G/SPS/N/RUS/72</v>
      </c>
      <c r="O1501" s="2"/>
    </row>
    <row r="1502" spans="1:15" ht="240" customHeight="1" outlineLevel="1" x14ac:dyDescent="0.25">
      <c r="A1502" s="2" t="s">
        <v>211</v>
      </c>
      <c r="B1502" s="2" t="s">
        <v>5712</v>
      </c>
      <c r="C1502" s="2"/>
      <c r="D1502" s="2"/>
      <c r="E1502" s="3">
        <v>41870</v>
      </c>
      <c r="F1502" s="2" t="s">
        <v>5713</v>
      </c>
      <c r="G1502" s="2" t="s">
        <v>5714</v>
      </c>
      <c r="H1502" s="2" t="s">
        <v>2467</v>
      </c>
      <c r="I1502" s="2" t="s">
        <v>2444</v>
      </c>
      <c r="J1502" s="2"/>
      <c r="K1502" s="2" t="str">
        <f>HYPERLINK("https://docs.wto.org/imrd/directdoc.asp?DDFDocuments/t/G/SPS/NNZL502A1.DOC")</f>
        <v>https://docs.wto.org/imrd/directdoc.asp?DDFDocuments/t/G/SPS/NNZL502A1.DOC</v>
      </c>
      <c r="L1502" s="2" t="str">
        <f>HYPERLINK("https://docs.wto.org/imrd/directdoc.asp?DDFDocuments/u/G/SPS/NNZL502A1.DOC")</f>
        <v>https://docs.wto.org/imrd/directdoc.asp?DDFDocuments/u/G/SPS/NNZL502A1.DOC</v>
      </c>
      <c r="M1502" s="2" t="str">
        <f>HYPERLINK("https://docs.wto.org/imrd/directdoc.asp?DDFDocuments/v/G/SPS/NNZL502A1.DOC")</f>
        <v>https://docs.wto.org/imrd/directdoc.asp?DDFDocuments/v/G/SPS/NNZL502A1.DOC</v>
      </c>
      <c r="N1502" s="2" t="str">
        <f>HYPERLINK("http://www.epingalert.org/#/details/G/SPS/N/NZL/502/Add.1")</f>
        <v>http://www.epingalert.org/#/details/G/SPS/N/NZL/502/Add.1</v>
      </c>
      <c r="O1502" s="2"/>
    </row>
    <row r="1503" spans="1:15" ht="240" customHeight="1" outlineLevel="1" x14ac:dyDescent="0.25">
      <c r="A1503" s="2" t="s">
        <v>25</v>
      </c>
      <c r="B1503" s="2" t="s">
        <v>5715</v>
      </c>
      <c r="C1503" s="2" t="s">
        <v>5716</v>
      </c>
      <c r="D1503" s="2" t="s">
        <v>5717</v>
      </c>
      <c r="E1503" s="3">
        <v>41869</v>
      </c>
      <c r="F1503" s="2" t="s">
        <v>299</v>
      </c>
      <c r="G1503" s="2"/>
      <c r="H1503" s="2" t="s">
        <v>2573</v>
      </c>
      <c r="I1503" s="2" t="s">
        <v>2558</v>
      </c>
      <c r="J1503" s="3">
        <v>41929</v>
      </c>
      <c r="K1503" s="2" t="str">
        <f>HYPERLINK("https://docs.wto.org/imrd/directdoc.asp?DDFDocuments/t/G/SPS/NKOR484.DOC")</f>
        <v>https://docs.wto.org/imrd/directdoc.asp?DDFDocuments/t/G/SPS/NKOR484.DOC</v>
      </c>
      <c r="L1503" s="2" t="str">
        <f>HYPERLINK("https://docs.wto.org/imrd/directdoc.asp?DDFDocuments/u/G/SPS/NKOR484.DOC")</f>
        <v>https://docs.wto.org/imrd/directdoc.asp?DDFDocuments/u/G/SPS/NKOR484.DOC</v>
      </c>
      <c r="M1503" s="2" t="str">
        <f>HYPERLINK("https://docs.wto.org/imrd/directdoc.asp?DDFDocuments/v/G/SPS/NKOR484.DOC")</f>
        <v>https://docs.wto.org/imrd/directdoc.asp?DDFDocuments/v/G/SPS/NKOR484.DOC</v>
      </c>
      <c r="N1503" s="2" t="str">
        <f>HYPERLINK("http://www.epingalert.org/#/details/G/SPS/N/KOR/484")</f>
        <v>http://www.epingalert.org/#/details/G/SPS/N/KOR/484</v>
      </c>
      <c r="O1503" s="2"/>
    </row>
    <row r="1504" spans="1:15" ht="240" customHeight="1" outlineLevel="1" x14ac:dyDescent="0.25">
      <c r="A1504" s="2" t="s">
        <v>178</v>
      </c>
      <c r="B1504" s="2" t="s">
        <v>8265</v>
      </c>
      <c r="C1504" s="2" t="s">
        <v>8266</v>
      </c>
      <c r="D1504" s="2" t="s">
        <v>991</v>
      </c>
      <c r="E1504" s="3">
        <v>41869</v>
      </c>
      <c r="F1504" s="2" t="s">
        <v>8267</v>
      </c>
      <c r="G1504" s="2" t="s">
        <v>8268</v>
      </c>
      <c r="H1504" s="2" t="s">
        <v>2573</v>
      </c>
      <c r="I1504" s="2" t="s">
        <v>2461</v>
      </c>
      <c r="J1504" s="3">
        <v>41929</v>
      </c>
      <c r="K1504" s="2" t="str">
        <f>HYPERLINK("https://docs.wto.org/imrd/directdoc.asp?DDFDocuments/t/G/SPS/NQAT48.DOC")</f>
        <v>https://docs.wto.org/imrd/directdoc.asp?DDFDocuments/t/G/SPS/NQAT48.DOC</v>
      </c>
      <c r="L1504" s="2" t="str">
        <f>HYPERLINK("https://docs.wto.org/imrd/directdoc.asp?DDFDocuments/u/G/SPS/NQAT48.DOC")</f>
        <v>https://docs.wto.org/imrd/directdoc.asp?DDFDocuments/u/G/SPS/NQAT48.DOC</v>
      </c>
      <c r="M1504" s="2" t="str">
        <f>HYPERLINK("https://docs.wto.org/imrd/directdoc.asp?DDFDocuments/v/G/SPS/NQAT48.DOC")</f>
        <v>https://docs.wto.org/imrd/directdoc.asp?DDFDocuments/v/G/SPS/NQAT48.DOC</v>
      </c>
      <c r="N1504" s="2" t="str">
        <f>HYPERLINK("http://www.epingalert.org/#/details/G/SPS/N/QAT/48")</f>
        <v>http://www.epingalert.org/#/details/G/SPS/N/QAT/48</v>
      </c>
      <c r="O1504" s="2"/>
    </row>
    <row r="1505" spans="1:15" ht="240" customHeight="1" outlineLevel="1" x14ac:dyDescent="0.25">
      <c r="A1505" s="2" t="s">
        <v>1198</v>
      </c>
      <c r="B1505" s="2" t="s">
        <v>8269</v>
      </c>
      <c r="C1505" s="2" t="s">
        <v>8270</v>
      </c>
      <c r="D1505" s="2" t="s">
        <v>8271</v>
      </c>
      <c r="E1505" s="3">
        <v>41869</v>
      </c>
      <c r="F1505" s="2" t="s">
        <v>7862</v>
      </c>
      <c r="G1505" s="2" t="s">
        <v>2262</v>
      </c>
      <c r="H1505" s="2" t="s">
        <v>6982</v>
      </c>
      <c r="I1505" s="2" t="s">
        <v>6869</v>
      </c>
      <c r="J1505" s="3">
        <v>41929</v>
      </c>
      <c r="K1505" s="2" t="str">
        <f>HYPERLINK("https://docs.wto.org/imrd/directdoc.asp?DDFDocuments/t/G/SPS/NECU154.DOC")</f>
        <v>https://docs.wto.org/imrd/directdoc.asp?DDFDocuments/t/G/SPS/NECU154.DOC</v>
      </c>
      <c r="L1505" s="2" t="str">
        <f>HYPERLINK("https://docs.wto.org/imrd/directdoc.asp?DDFDocuments/u/G/SPS/NECU154.DOC")</f>
        <v>https://docs.wto.org/imrd/directdoc.asp?DDFDocuments/u/G/SPS/NECU154.DOC</v>
      </c>
      <c r="M1505" s="2" t="str">
        <f>HYPERLINK("https://docs.wto.org/imrd/directdoc.asp?DDFDocuments/v/G/SPS/NECU154.DOC")</f>
        <v>https://docs.wto.org/imrd/directdoc.asp?DDFDocuments/v/G/SPS/NECU154.DOC</v>
      </c>
      <c r="N1505" s="2" t="str">
        <f>HYPERLINK("http://www.epingalert.org/#/details/G/SPS/N/ECU/154")</f>
        <v>http://www.epingalert.org/#/details/G/SPS/N/ECU/154</v>
      </c>
      <c r="O1505" s="2"/>
    </row>
    <row r="1506" spans="1:15" ht="240" customHeight="1" outlineLevel="1" x14ac:dyDescent="0.25">
      <c r="A1506" s="2" t="s">
        <v>115</v>
      </c>
      <c r="B1506" s="2" t="s">
        <v>8272</v>
      </c>
      <c r="C1506" s="2" t="s">
        <v>8273</v>
      </c>
      <c r="D1506" s="2" t="s">
        <v>8274</v>
      </c>
      <c r="E1506" s="3">
        <v>41866</v>
      </c>
      <c r="F1506" s="2" t="s">
        <v>8275</v>
      </c>
      <c r="G1506" s="2" t="s">
        <v>8276</v>
      </c>
      <c r="H1506" s="2" t="s">
        <v>2573</v>
      </c>
      <c r="I1506" s="2" t="s">
        <v>2558</v>
      </c>
      <c r="J1506" s="3">
        <v>41926</v>
      </c>
      <c r="K1506" s="2" t="str">
        <f>HYPERLINK("https://docs.wto.org/imrd/directdoc.asp?DDFDocuments/t/G/SPS/NJPN360.DOC")</f>
        <v>https://docs.wto.org/imrd/directdoc.asp?DDFDocuments/t/G/SPS/NJPN360.DOC</v>
      </c>
      <c r="L1506" s="2" t="str">
        <f>HYPERLINK("https://docs.wto.org/imrd/directdoc.asp?DDFDocuments/u/G/SPS/NJPN360.DOC")</f>
        <v>https://docs.wto.org/imrd/directdoc.asp?DDFDocuments/u/G/SPS/NJPN360.DOC</v>
      </c>
      <c r="M1506" s="2" t="str">
        <f>HYPERLINK("https://docs.wto.org/imrd/directdoc.asp?DDFDocuments/v/G/SPS/NJPN360.DOC")</f>
        <v>https://docs.wto.org/imrd/directdoc.asp?DDFDocuments/v/G/SPS/NJPN360.DOC</v>
      </c>
      <c r="N1506" s="2" t="str">
        <f>HYPERLINK("http://www.epingalert.org/#/details/G/SPS/N/JPN/360")</f>
        <v>http://www.epingalert.org/#/details/G/SPS/N/JPN/360</v>
      </c>
      <c r="O1506" s="2"/>
    </row>
    <row r="1507" spans="1:15" ht="240" customHeight="1" outlineLevel="1" x14ac:dyDescent="0.25">
      <c r="A1507" s="2" t="s">
        <v>1908</v>
      </c>
      <c r="B1507" s="2" t="s">
        <v>5722</v>
      </c>
      <c r="C1507" s="2" t="s">
        <v>5723</v>
      </c>
      <c r="D1507" s="2" t="s">
        <v>5724</v>
      </c>
      <c r="E1507" s="3">
        <v>41865</v>
      </c>
      <c r="F1507" s="2" t="s">
        <v>5725</v>
      </c>
      <c r="G1507" s="2"/>
      <c r="H1507" s="2" t="s">
        <v>2573</v>
      </c>
      <c r="I1507" s="2" t="s">
        <v>2453</v>
      </c>
      <c r="J1507" s="3">
        <v>41932</v>
      </c>
      <c r="K1507" s="2" t="str">
        <f>HYPERLINK("https://docs.wto.org/imrd/directdoc.asp?DDFDocuments/t/G/SPS/NCAN863.DOC")</f>
        <v>https://docs.wto.org/imrd/directdoc.asp?DDFDocuments/t/G/SPS/NCAN863.DOC</v>
      </c>
      <c r="L1507" s="2" t="str">
        <f>HYPERLINK("https://docs.wto.org/imrd/directdoc.asp?DDFDocuments/u/G/SPS/NCAN863.DOC")</f>
        <v>https://docs.wto.org/imrd/directdoc.asp?DDFDocuments/u/G/SPS/NCAN863.DOC</v>
      </c>
      <c r="M1507" s="2" t="str">
        <f>HYPERLINK("https://docs.wto.org/imrd/directdoc.asp?DDFDocuments/v/G/SPS/NCAN863.DOC")</f>
        <v>https://docs.wto.org/imrd/directdoc.asp?DDFDocuments/v/G/SPS/NCAN863.DOC</v>
      </c>
      <c r="N1507" s="2" t="str">
        <f>HYPERLINK("http://www.epingalert.org/#/details/G/SPS/N/CAN/863")</f>
        <v>http://www.epingalert.org/#/details/G/SPS/N/CAN/863</v>
      </c>
      <c r="O1507" s="2"/>
    </row>
    <row r="1508" spans="1:15" ht="240" customHeight="1" outlineLevel="1" x14ac:dyDescent="0.25">
      <c r="A1508" s="2" t="s">
        <v>1908</v>
      </c>
      <c r="B1508" s="2" t="s">
        <v>5726</v>
      </c>
      <c r="C1508" s="2" t="s">
        <v>5727</v>
      </c>
      <c r="D1508" s="2" t="s">
        <v>5728</v>
      </c>
      <c r="E1508" s="3">
        <v>41865</v>
      </c>
      <c r="F1508" s="2" t="s">
        <v>5729</v>
      </c>
      <c r="G1508" s="2"/>
      <c r="H1508" s="2" t="s">
        <v>2573</v>
      </c>
      <c r="I1508" s="2" t="s">
        <v>2453</v>
      </c>
      <c r="J1508" s="3">
        <v>41932</v>
      </c>
      <c r="K1508" s="2" t="str">
        <f>HYPERLINK("https://docs.wto.org/imrd/directdoc.asp?DDFDocuments/t/G/SPS/NCAN862.DOC")</f>
        <v>https://docs.wto.org/imrd/directdoc.asp?DDFDocuments/t/G/SPS/NCAN862.DOC</v>
      </c>
      <c r="L1508" s="2" t="str">
        <f>HYPERLINK("https://docs.wto.org/imrd/directdoc.asp?DDFDocuments/u/G/SPS/NCAN862.DOC")</f>
        <v>https://docs.wto.org/imrd/directdoc.asp?DDFDocuments/u/G/SPS/NCAN862.DOC</v>
      </c>
      <c r="M1508" s="2" t="str">
        <f>HYPERLINK("https://docs.wto.org/imrd/directdoc.asp?DDFDocuments/v/G/SPS/NCAN862.DOC")</f>
        <v>https://docs.wto.org/imrd/directdoc.asp?DDFDocuments/v/G/SPS/NCAN862.DOC</v>
      </c>
      <c r="N1508" s="2" t="str">
        <f>HYPERLINK("http://www.epingalert.org/#/details/G/SPS/N/CAN/862")</f>
        <v>http://www.epingalert.org/#/details/G/SPS/N/CAN/862</v>
      </c>
      <c r="O1508" s="2"/>
    </row>
    <row r="1509" spans="1:15" ht="240" customHeight="1" outlineLevel="1" x14ac:dyDescent="0.25">
      <c r="A1509" s="2" t="s">
        <v>1908</v>
      </c>
      <c r="B1509" s="2" t="s">
        <v>5718</v>
      </c>
      <c r="C1509" s="2"/>
      <c r="D1509" s="2"/>
      <c r="E1509" s="3">
        <v>41865</v>
      </c>
      <c r="F1509" s="2" t="s">
        <v>5719</v>
      </c>
      <c r="G1509" s="2"/>
      <c r="H1509" s="2" t="s">
        <v>2573</v>
      </c>
      <c r="I1509" s="2" t="s">
        <v>2453</v>
      </c>
      <c r="J1509" s="2"/>
      <c r="K1509" s="2" t="str">
        <f>HYPERLINK("https://docs.wto.org/imrd/directdoc.asp?DDFDocuments/t/G/SPS/NCAN817A1.DOC")</f>
        <v>https://docs.wto.org/imrd/directdoc.asp?DDFDocuments/t/G/SPS/NCAN817A1.DOC</v>
      </c>
      <c r="L1509" s="2" t="str">
        <f>HYPERLINK("https://docs.wto.org/imrd/directdoc.asp?DDFDocuments/u/G/SPS/NCAN817A1.DOC")</f>
        <v>https://docs.wto.org/imrd/directdoc.asp?DDFDocuments/u/G/SPS/NCAN817A1.DOC</v>
      </c>
      <c r="M1509" s="2" t="str">
        <f>HYPERLINK("https://docs.wto.org/imrd/directdoc.asp?DDFDocuments/v/G/SPS/NCAN817A1.DOC")</f>
        <v>https://docs.wto.org/imrd/directdoc.asp?DDFDocuments/v/G/SPS/NCAN817A1.DOC</v>
      </c>
      <c r="N1509" s="2" t="str">
        <f>HYPERLINK("http://www.epingalert.org/#/details/G/SPS/N/CAN/817/Add.1")</f>
        <v>http://www.epingalert.org/#/details/G/SPS/N/CAN/817/Add.1</v>
      </c>
      <c r="O1509" s="2"/>
    </row>
    <row r="1510" spans="1:15" ht="240" customHeight="1" outlineLevel="1" x14ac:dyDescent="0.25">
      <c r="A1510" s="2" t="s">
        <v>18</v>
      </c>
      <c r="B1510" s="2" t="s">
        <v>5720</v>
      </c>
      <c r="C1510" s="2"/>
      <c r="D1510" s="2"/>
      <c r="E1510" s="3">
        <v>41865</v>
      </c>
      <c r="F1510" s="2" t="s">
        <v>2627</v>
      </c>
      <c r="G1510" s="2"/>
      <c r="H1510" s="2" t="s">
        <v>2573</v>
      </c>
      <c r="I1510" s="2" t="s">
        <v>2903</v>
      </c>
      <c r="J1510" s="2"/>
      <c r="K1510" s="2" t="str">
        <f>HYPERLINK("https://docs.wto.org/imrd/directdoc.asp?DDFDocuments/t/G/SPS/NUSA2156A5.DOC")</f>
        <v>https://docs.wto.org/imrd/directdoc.asp?DDFDocuments/t/G/SPS/NUSA2156A5.DOC</v>
      </c>
      <c r="L1510" s="2" t="str">
        <f>HYPERLINK("https://docs.wto.org/imrd/directdoc.asp?DDFDocuments/u/G/SPS/NUSA2156A5.DOC")</f>
        <v>https://docs.wto.org/imrd/directdoc.asp?DDFDocuments/u/G/SPS/NUSA2156A5.DOC</v>
      </c>
      <c r="M1510" s="2" t="str">
        <f>HYPERLINK("https://docs.wto.org/imrd/directdoc.asp?DDFDocuments/v/G/SPS/NUSA2156A5.DOC")</f>
        <v>https://docs.wto.org/imrd/directdoc.asp?DDFDocuments/v/G/SPS/NUSA2156A5.DOC</v>
      </c>
      <c r="N1510" s="2" t="str">
        <f>HYPERLINK("http://www.epingalert.org/#/details/G/SPS/N/USA/2156/Add.5")</f>
        <v>http://www.epingalert.org/#/details/G/SPS/N/USA/2156/Add.5</v>
      </c>
      <c r="O1510" s="2"/>
    </row>
    <row r="1511" spans="1:15" ht="240" customHeight="1" outlineLevel="1" x14ac:dyDescent="0.25">
      <c r="A1511" s="2" t="s">
        <v>77</v>
      </c>
      <c r="B1511" s="2" t="s">
        <v>5721</v>
      </c>
      <c r="C1511" s="2"/>
      <c r="D1511" s="2"/>
      <c r="E1511" s="3">
        <v>41865</v>
      </c>
      <c r="F1511" s="2" t="s">
        <v>221</v>
      </c>
      <c r="G1511" s="2"/>
      <c r="H1511" s="2" t="s">
        <v>2573</v>
      </c>
      <c r="I1511" s="2" t="s">
        <v>2444</v>
      </c>
      <c r="J1511" s="2"/>
      <c r="K1511" s="2" t="str">
        <f>HYPERLINK("https://docs.wto.org/imrd/directdoc.asp?DDFDocuments/t/G/SPS/NTPKM302A2.DOC")</f>
        <v>https://docs.wto.org/imrd/directdoc.asp?DDFDocuments/t/G/SPS/NTPKM302A2.DOC</v>
      </c>
      <c r="L1511" s="2" t="str">
        <f>HYPERLINK("https://docs.wto.org/imrd/directdoc.asp?DDFDocuments/u/G/SPS/NTPKM302A2.DOC")</f>
        <v>https://docs.wto.org/imrd/directdoc.asp?DDFDocuments/u/G/SPS/NTPKM302A2.DOC</v>
      </c>
      <c r="M1511" s="2" t="str">
        <f>HYPERLINK("https://docs.wto.org/imrd/directdoc.asp?DDFDocuments/v/G/SPS/NTPKM302A2.DOC")</f>
        <v>https://docs.wto.org/imrd/directdoc.asp?DDFDocuments/v/G/SPS/NTPKM302A2.DOC</v>
      </c>
      <c r="N1511" s="2" t="str">
        <f>HYPERLINK("http://www.epingalert.org/#/details/G/SPS/N/TPKM/302/Add.2")</f>
        <v>http://www.epingalert.org/#/details/G/SPS/N/TPKM/302/Add.2</v>
      </c>
      <c r="O1511" s="2"/>
    </row>
    <row r="1512" spans="1:15" ht="240" customHeight="1" outlineLevel="1" x14ac:dyDescent="0.25">
      <c r="A1512" s="2" t="s">
        <v>18</v>
      </c>
      <c r="B1512" s="2" t="s">
        <v>6680</v>
      </c>
      <c r="C1512" s="2"/>
      <c r="D1512" s="2"/>
      <c r="E1512" s="3">
        <v>41865</v>
      </c>
      <c r="F1512" s="2" t="s">
        <v>6681</v>
      </c>
      <c r="G1512" s="2"/>
      <c r="H1512" s="2" t="s">
        <v>2573</v>
      </c>
      <c r="I1512" s="2" t="s">
        <v>2444</v>
      </c>
      <c r="J1512" s="2"/>
      <c r="K1512" s="2" t="str">
        <f>HYPERLINK("https://docs.wto.org/imrd/directdoc.asp?DDFDocuments/t/G/SPS/NUSA2337A1.DOC")</f>
        <v>https://docs.wto.org/imrd/directdoc.asp?DDFDocuments/t/G/SPS/NUSA2337A1.DOC</v>
      </c>
      <c r="L1512" s="2" t="str">
        <f>HYPERLINK("https://docs.wto.org/imrd/directdoc.asp?DDFDocuments/u/G/SPS/NUSA2337A1.DOC")</f>
        <v>https://docs.wto.org/imrd/directdoc.asp?DDFDocuments/u/G/SPS/NUSA2337A1.DOC</v>
      </c>
      <c r="M1512" s="2" t="str">
        <f>HYPERLINK("https://docs.wto.org/imrd/directdoc.asp?DDFDocuments/v/G/SPS/NUSA2337A1.DOC")</f>
        <v>https://docs.wto.org/imrd/directdoc.asp?DDFDocuments/v/G/SPS/NUSA2337A1.DOC</v>
      </c>
      <c r="N1512" s="2" t="str">
        <f>HYPERLINK("http://www.epingalert.org/#/details/G/SPS/N/USA/2337/Add.1")</f>
        <v>http://www.epingalert.org/#/details/G/SPS/N/USA/2337/Add.1</v>
      </c>
      <c r="O1512" s="2"/>
    </row>
    <row r="1513" spans="1:15" ht="240" customHeight="1" outlineLevel="1" x14ac:dyDescent="0.25">
      <c r="A1513" s="2" t="s">
        <v>128</v>
      </c>
      <c r="B1513" s="2" t="s">
        <v>8278</v>
      </c>
      <c r="C1513" s="2"/>
      <c r="D1513" s="2"/>
      <c r="E1513" s="3">
        <v>41864</v>
      </c>
      <c r="F1513" s="2" t="s">
        <v>7710</v>
      </c>
      <c r="G1513" s="2" t="s">
        <v>8279</v>
      </c>
      <c r="H1513" s="2" t="s">
        <v>6741</v>
      </c>
      <c r="I1513" s="2" t="s">
        <v>2444</v>
      </c>
      <c r="J1513" s="2"/>
      <c r="K1513" s="2" t="str">
        <f>HYPERLINK("https://docs.wto.org/imrd/directdoc.asp?DDFDocuments/t/G/SPS/NPER542A2.DOC")</f>
        <v>https://docs.wto.org/imrd/directdoc.asp?DDFDocuments/t/G/SPS/NPER542A2.DOC</v>
      </c>
      <c r="L1513" s="2" t="str">
        <f>HYPERLINK("https://docs.wto.org/imrd/directdoc.asp?DDFDocuments/u/G/SPS/NPER542A2.DOC")</f>
        <v>https://docs.wto.org/imrd/directdoc.asp?DDFDocuments/u/G/SPS/NPER542A2.DOC</v>
      </c>
      <c r="M1513" s="2" t="str">
        <f>HYPERLINK("https://docs.wto.org/imrd/directdoc.asp?DDFDocuments/v/G/SPS/NPER542A2.DOC")</f>
        <v>https://docs.wto.org/imrd/directdoc.asp?DDFDocuments/v/G/SPS/NPER542A2.DOC</v>
      </c>
      <c r="N1513" s="2" t="str">
        <f>HYPERLINK("http://www.epingalert.org/#/details/G/SPS/N/PER/542/Add.2")</f>
        <v>http://www.epingalert.org/#/details/G/SPS/N/PER/542/Add.2</v>
      </c>
      <c r="O1513" s="2"/>
    </row>
    <row r="1514" spans="1:15" ht="240" customHeight="1" outlineLevel="1" x14ac:dyDescent="0.25">
      <c r="A1514" s="2" t="s">
        <v>1908</v>
      </c>
      <c r="B1514" s="2" t="s">
        <v>5733</v>
      </c>
      <c r="C1514" s="2" t="s">
        <v>5734</v>
      </c>
      <c r="D1514" s="2" t="s">
        <v>5735</v>
      </c>
      <c r="E1514" s="3">
        <v>41862</v>
      </c>
      <c r="F1514" s="2" t="s">
        <v>5442</v>
      </c>
      <c r="G1514" s="2"/>
      <c r="H1514" s="2" t="s">
        <v>2573</v>
      </c>
      <c r="I1514" s="2" t="s">
        <v>2453</v>
      </c>
      <c r="J1514" s="3">
        <v>41926</v>
      </c>
      <c r="K1514" s="2" t="str">
        <f>HYPERLINK("https://docs.wto.org/imrd/directdoc.asp?DDFDocuments/t/G/SPS/NCAN856.DOC")</f>
        <v>https://docs.wto.org/imrd/directdoc.asp?DDFDocuments/t/G/SPS/NCAN856.DOC</v>
      </c>
      <c r="L1514" s="2" t="str">
        <f>HYPERLINK("https://docs.wto.org/imrd/directdoc.asp?DDFDocuments/u/G/SPS/NCAN856.DOC")</f>
        <v>https://docs.wto.org/imrd/directdoc.asp?DDFDocuments/u/G/SPS/NCAN856.DOC</v>
      </c>
      <c r="M1514" s="2" t="str">
        <f>HYPERLINK("https://docs.wto.org/imrd/directdoc.asp?DDFDocuments/v/G/SPS/NCAN856.DOC")</f>
        <v>https://docs.wto.org/imrd/directdoc.asp?DDFDocuments/v/G/SPS/NCAN856.DOC</v>
      </c>
      <c r="N1514" s="2" t="str">
        <f>HYPERLINK("http://www.epingalert.org/#/details/G/SPS/N/CAN/856")</f>
        <v>http://www.epingalert.org/#/details/G/SPS/N/CAN/856</v>
      </c>
      <c r="O1514" s="2"/>
    </row>
    <row r="1515" spans="1:15" ht="240" customHeight="1" outlineLevel="1" x14ac:dyDescent="0.25">
      <c r="A1515" s="2" t="s">
        <v>444</v>
      </c>
      <c r="B1515" s="2" t="s">
        <v>5730</v>
      </c>
      <c r="C1515" s="2" t="s">
        <v>5731</v>
      </c>
      <c r="D1515" s="2" t="s">
        <v>5732</v>
      </c>
      <c r="E1515" s="3">
        <v>41862</v>
      </c>
      <c r="F1515" s="2" t="s">
        <v>2523</v>
      </c>
      <c r="G1515" s="2"/>
      <c r="H1515" s="2" t="s">
        <v>2573</v>
      </c>
      <c r="I1515" s="2" t="s">
        <v>2426</v>
      </c>
      <c r="J1515" s="3">
        <v>41922</v>
      </c>
      <c r="K1515" s="2" t="str">
        <f>HYPERLINK("https://docs.wto.org/imrd/directdoc.asp?DDFDocuments/t/G/SPS/NMYS32.DOC")</f>
        <v>https://docs.wto.org/imrd/directdoc.asp?DDFDocuments/t/G/SPS/NMYS32.DOC</v>
      </c>
      <c r="L1515" s="2" t="str">
        <f>HYPERLINK("https://docs.wto.org/imrd/directdoc.asp?DDFDocuments/u/G/SPS/NMYS32.DOC")</f>
        <v>https://docs.wto.org/imrd/directdoc.asp?DDFDocuments/u/G/SPS/NMYS32.DOC</v>
      </c>
      <c r="M1515" s="2" t="str">
        <f>HYPERLINK("https://docs.wto.org/imrd/directdoc.asp?DDFDocuments/v/G/SPS/NMYS32.DOC")</f>
        <v>https://docs.wto.org/imrd/directdoc.asp?DDFDocuments/v/G/SPS/NMYS32.DOC</v>
      </c>
      <c r="N1515" s="2" t="str">
        <f>HYPERLINK("http://www.epingalert.org/#/details/G/SPS/N/MYS/32")</f>
        <v>http://www.epingalert.org/#/details/G/SPS/N/MYS/32</v>
      </c>
      <c r="O1515" s="2"/>
    </row>
    <row r="1516" spans="1:15" ht="240" customHeight="1" outlineLevel="1" x14ac:dyDescent="0.25">
      <c r="A1516" s="2" t="s">
        <v>225</v>
      </c>
      <c r="B1516" s="2" t="s">
        <v>8280</v>
      </c>
      <c r="C1516" s="2"/>
      <c r="D1516" s="2"/>
      <c r="E1516" s="3">
        <v>41859</v>
      </c>
      <c r="F1516" s="2" t="s">
        <v>8281</v>
      </c>
      <c r="G1516" s="2" t="s">
        <v>2381</v>
      </c>
      <c r="H1516" s="2" t="s">
        <v>2573</v>
      </c>
      <c r="I1516" s="2" t="s">
        <v>2672</v>
      </c>
      <c r="J1516" s="3">
        <v>41900</v>
      </c>
      <c r="K1516" s="2" t="str">
        <f>HYPERLINK("https://docs.wto.org/imrd/directdoc.asp?DDFDocuments/t/G/SPS/NAUS343A1.DOC")</f>
        <v>https://docs.wto.org/imrd/directdoc.asp?DDFDocuments/t/G/SPS/NAUS343A1.DOC</v>
      </c>
      <c r="L1516" s="2" t="str">
        <f>HYPERLINK("https://docs.wto.org/imrd/directdoc.asp?DDFDocuments/u/G/SPS/NAUS343A1.DOC")</f>
        <v>https://docs.wto.org/imrd/directdoc.asp?DDFDocuments/u/G/SPS/NAUS343A1.DOC</v>
      </c>
      <c r="M1516" s="2" t="str">
        <f>HYPERLINK("https://docs.wto.org/imrd/directdoc.asp?DDFDocuments/v/G/SPS/NAUS343A1.DOC")</f>
        <v>https://docs.wto.org/imrd/directdoc.asp?DDFDocuments/v/G/SPS/NAUS343A1.DOC</v>
      </c>
      <c r="N1516" s="2" t="str">
        <f>HYPERLINK("http://www.epingalert.org/#/details/G/SPS/N/AUS/343/Add.1")</f>
        <v>http://www.epingalert.org/#/details/G/SPS/N/AUS/343/Add.1</v>
      </c>
      <c r="O1516" s="2"/>
    </row>
    <row r="1517" spans="1:15" ht="240" customHeight="1" outlineLevel="1" x14ac:dyDescent="0.25">
      <c r="A1517" s="2" t="s">
        <v>115</v>
      </c>
      <c r="B1517" s="2" t="s">
        <v>8282</v>
      </c>
      <c r="C1517" s="2" t="s">
        <v>8283</v>
      </c>
      <c r="D1517" s="2" t="s">
        <v>8284</v>
      </c>
      <c r="E1517" s="3">
        <v>41859</v>
      </c>
      <c r="F1517" s="2" t="s">
        <v>8285</v>
      </c>
      <c r="G1517" s="2" t="s">
        <v>2381</v>
      </c>
      <c r="H1517" s="2" t="s">
        <v>2573</v>
      </c>
      <c r="I1517" s="2" t="s">
        <v>7764</v>
      </c>
      <c r="J1517" s="2"/>
      <c r="K1517" s="2" t="str">
        <f>HYPERLINK("https://docs.wto.org/imrd/directdoc.asp?DDFDocuments/t/G/SPS/NJPN359.DOC")</f>
        <v>https://docs.wto.org/imrd/directdoc.asp?DDFDocuments/t/G/SPS/NJPN359.DOC</v>
      </c>
      <c r="L1517" s="2" t="str">
        <f>HYPERLINK("https://docs.wto.org/imrd/directdoc.asp?DDFDocuments/u/G/SPS/NJPN359.DOC")</f>
        <v>https://docs.wto.org/imrd/directdoc.asp?DDFDocuments/u/G/SPS/NJPN359.DOC</v>
      </c>
      <c r="M1517" s="2" t="str">
        <f>HYPERLINK("https://docs.wto.org/imrd/directdoc.asp?DDFDocuments/v/G/SPS/NJPN359.DOC")</f>
        <v>https://docs.wto.org/imrd/directdoc.asp?DDFDocuments/v/G/SPS/NJPN359.DOC</v>
      </c>
      <c r="N1517" s="2" t="str">
        <f>HYPERLINK("http://www.epingalert.org/#/details/G/SPS/N/JPN/359")</f>
        <v>http://www.epingalert.org/#/details/G/SPS/N/JPN/359</v>
      </c>
      <c r="O1517" s="2"/>
    </row>
    <row r="1518" spans="1:15" ht="240" customHeight="1" outlineLevel="1" x14ac:dyDescent="0.25">
      <c r="A1518" s="2" t="s">
        <v>225</v>
      </c>
      <c r="B1518" s="2" t="s">
        <v>5762</v>
      </c>
      <c r="C1518" s="2" t="s">
        <v>5763</v>
      </c>
      <c r="D1518" s="2" t="s">
        <v>2494</v>
      </c>
      <c r="E1518" s="3">
        <v>41856</v>
      </c>
      <c r="F1518" s="2" t="s">
        <v>2430</v>
      </c>
      <c r="G1518" s="2"/>
      <c r="H1518" s="2" t="s">
        <v>2573</v>
      </c>
      <c r="I1518" s="2" t="s">
        <v>2431</v>
      </c>
      <c r="J1518" s="3">
        <v>41918</v>
      </c>
      <c r="K1518" s="2" t="str">
        <f>HYPERLINK("https://docs.wto.org/imrd/directdoc.asp?DDFDocuments/t/G/SPS/NAUS344.DOC")</f>
        <v>https://docs.wto.org/imrd/directdoc.asp?DDFDocuments/t/G/SPS/NAUS344.DOC</v>
      </c>
      <c r="L1518" s="2" t="str">
        <f>HYPERLINK("https://docs.wto.org/imrd/directdoc.asp?DDFDocuments/u/G/SPS/NAUS344.DOC")</f>
        <v>https://docs.wto.org/imrd/directdoc.asp?DDFDocuments/u/G/SPS/NAUS344.DOC</v>
      </c>
      <c r="M1518" s="2" t="str">
        <f>HYPERLINK("https://docs.wto.org/imrd/directdoc.asp?DDFDocuments/v/G/SPS/NAUS344.DOC")</f>
        <v>https://docs.wto.org/imrd/directdoc.asp?DDFDocuments/v/G/SPS/NAUS344.DOC</v>
      </c>
      <c r="N1518" s="2" t="str">
        <f>HYPERLINK("http://www.epingalert.org/#/details/G/SPS/N/AUS/344")</f>
        <v>http://www.epingalert.org/#/details/G/SPS/N/AUS/344</v>
      </c>
      <c r="O1518" s="2"/>
    </row>
    <row r="1519" spans="1:15" ht="240" customHeight="1" outlineLevel="1" x14ac:dyDescent="0.25">
      <c r="A1519" s="2" t="s">
        <v>77</v>
      </c>
      <c r="B1519" s="2" t="s">
        <v>5739</v>
      </c>
      <c r="C1519" s="2" t="s">
        <v>5740</v>
      </c>
      <c r="D1519" s="2" t="s">
        <v>5741</v>
      </c>
      <c r="E1519" s="3">
        <v>41856</v>
      </c>
      <c r="F1519" s="2" t="s">
        <v>5742</v>
      </c>
      <c r="G1519" s="2" t="s">
        <v>5743</v>
      </c>
      <c r="H1519" s="2" t="s">
        <v>2573</v>
      </c>
      <c r="I1519" s="2" t="s">
        <v>5744</v>
      </c>
      <c r="J1519" s="3">
        <v>41916</v>
      </c>
      <c r="K1519" s="2" t="str">
        <f>HYPERLINK("https://docs.wto.org/imrd/directdoc.asp?DDFDocuments/t/G/SPS/NTPKM322.DOC")</f>
        <v>https://docs.wto.org/imrd/directdoc.asp?DDFDocuments/t/G/SPS/NTPKM322.DOC</v>
      </c>
      <c r="L1519" s="2" t="str">
        <f>HYPERLINK("https://docs.wto.org/imrd/directdoc.asp?DDFDocuments/u/G/SPS/NTPKM322.DOC")</f>
        <v>https://docs.wto.org/imrd/directdoc.asp?DDFDocuments/u/G/SPS/NTPKM322.DOC</v>
      </c>
      <c r="M1519" s="2" t="str">
        <f>HYPERLINK("https://docs.wto.org/imrd/directdoc.asp?DDFDocuments/v/G/SPS/NTPKM322.DOC")</f>
        <v>https://docs.wto.org/imrd/directdoc.asp?DDFDocuments/v/G/SPS/NTPKM322.DOC</v>
      </c>
      <c r="N1519" s="2" t="str">
        <f>HYPERLINK("http://www.epingalert.org/#/details/G/SPS/N/TPKM/322")</f>
        <v>http://www.epingalert.org/#/details/G/SPS/N/TPKM/322</v>
      </c>
      <c r="O1519" s="2"/>
    </row>
    <row r="1520" spans="1:15" ht="240" customHeight="1" outlineLevel="1" x14ac:dyDescent="0.25">
      <c r="A1520" s="2" t="s">
        <v>77</v>
      </c>
      <c r="B1520" s="2" t="s">
        <v>5745</v>
      </c>
      <c r="C1520" s="2" t="s">
        <v>5746</v>
      </c>
      <c r="D1520" s="2" t="s">
        <v>5747</v>
      </c>
      <c r="E1520" s="3">
        <v>41856</v>
      </c>
      <c r="F1520" s="2" t="s">
        <v>5748</v>
      </c>
      <c r="G1520" s="2" t="s">
        <v>5749</v>
      </c>
      <c r="H1520" s="2" t="s">
        <v>2573</v>
      </c>
      <c r="I1520" s="2" t="s">
        <v>5750</v>
      </c>
      <c r="J1520" s="3">
        <v>41916</v>
      </c>
      <c r="K1520" s="2" t="str">
        <f>HYPERLINK("https://docs.wto.org/imrd/directdoc.asp?DDFDocuments/t/G/SPS/NTPKM321.DOC")</f>
        <v>https://docs.wto.org/imrd/directdoc.asp?DDFDocuments/t/G/SPS/NTPKM321.DOC</v>
      </c>
      <c r="L1520" s="2" t="str">
        <f>HYPERLINK("https://docs.wto.org/imrd/directdoc.asp?DDFDocuments/u/G/SPS/NTPKM321.DOC")</f>
        <v>https://docs.wto.org/imrd/directdoc.asp?DDFDocuments/u/G/SPS/NTPKM321.DOC</v>
      </c>
      <c r="M1520" s="2" t="str">
        <f>HYPERLINK("https://docs.wto.org/imrd/directdoc.asp?DDFDocuments/v/G/SPS/NTPKM321.DOC")</f>
        <v>https://docs.wto.org/imrd/directdoc.asp?DDFDocuments/v/G/SPS/NTPKM321.DOC</v>
      </c>
      <c r="N1520" s="2" t="str">
        <f>HYPERLINK("http://www.epingalert.org/#/details/G/SPS/N/TPKM/321")</f>
        <v>http://www.epingalert.org/#/details/G/SPS/N/TPKM/321</v>
      </c>
      <c r="O1520" s="2"/>
    </row>
    <row r="1521" spans="1:15" ht="240" customHeight="1" outlineLevel="1" x14ac:dyDescent="0.25">
      <c r="A1521" s="2" t="s">
        <v>1908</v>
      </c>
      <c r="B1521" s="2" t="s">
        <v>5751</v>
      </c>
      <c r="C1521" s="2" t="s">
        <v>5752</v>
      </c>
      <c r="D1521" s="2" t="s">
        <v>5753</v>
      </c>
      <c r="E1521" s="3">
        <v>41856</v>
      </c>
      <c r="F1521" s="2" t="s">
        <v>4191</v>
      </c>
      <c r="G1521" s="2" t="s">
        <v>5754</v>
      </c>
      <c r="H1521" s="2" t="s">
        <v>2573</v>
      </c>
      <c r="I1521" s="2" t="s">
        <v>2903</v>
      </c>
      <c r="J1521" s="3">
        <v>41880</v>
      </c>
      <c r="K1521" s="2" t="str">
        <f>HYPERLINK("https://docs.wto.org/imrd/directdoc.asp?DDFDocuments/t/G/SPS/NCAN845.DOC")</f>
        <v>https://docs.wto.org/imrd/directdoc.asp?DDFDocuments/t/G/SPS/NCAN845.DOC</v>
      </c>
      <c r="L1521" s="2" t="str">
        <f>HYPERLINK("https://docs.wto.org/imrd/directdoc.asp?DDFDocuments/u/G/SPS/NCAN845.DOC")</f>
        <v>https://docs.wto.org/imrd/directdoc.asp?DDFDocuments/u/G/SPS/NCAN845.DOC</v>
      </c>
      <c r="M1521" s="2" t="str">
        <f>HYPERLINK("https://docs.wto.org/imrd/directdoc.asp?DDFDocuments/v/G/SPS/NCAN845.DOC")</f>
        <v>https://docs.wto.org/imrd/directdoc.asp?DDFDocuments/v/G/SPS/NCAN845.DOC</v>
      </c>
      <c r="N1521" s="2" t="str">
        <f>HYPERLINK("http://www.epingalert.org/#/details/G/SPS/N/CAN/845")</f>
        <v>http://www.epingalert.org/#/details/G/SPS/N/CAN/845</v>
      </c>
      <c r="O1521" s="2"/>
    </row>
    <row r="1522" spans="1:15" ht="240" customHeight="1" outlineLevel="1" x14ac:dyDescent="0.25">
      <c r="A1522" s="2" t="s">
        <v>42</v>
      </c>
      <c r="B1522" s="2" t="s">
        <v>5755</v>
      </c>
      <c r="C1522" s="2" t="s">
        <v>5756</v>
      </c>
      <c r="D1522" s="2" t="s">
        <v>5757</v>
      </c>
      <c r="E1522" s="3">
        <v>41856</v>
      </c>
      <c r="F1522" s="2" t="s">
        <v>5758</v>
      </c>
      <c r="G1522" s="2"/>
      <c r="H1522" s="2" t="s">
        <v>2573</v>
      </c>
      <c r="I1522" s="2" t="s">
        <v>2453</v>
      </c>
      <c r="J1522" s="3">
        <v>41879</v>
      </c>
      <c r="K1522" s="2" t="str">
        <f>HYPERLINK("https://docs.wto.org/imrd/directdoc.asp?DDFDocuments/t/G/SPS/NBRA970.DOC")</f>
        <v>https://docs.wto.org/imrd/directdoc.asp?DDFDocuments/t/G/SPS/NBRA970.DOC</v>
      </c>
      <c r="L1522" s="2" t="str">
        <f>HYPERLINK("https://docs.wto.org/imrd/directdoc.asp?DDFDocuments/u/G/SPS/NBRA970.DOC")</f>
        <v>https://docs.wto.org/imrd/directdoc.asp?DDFDocuments/u/G/SPS/NBRA970.DOC</v>
      </c>
      <c r="M1522" s="2" t="str">
        <f>HYPERLINK("https://docs.wto.org/imrd/directdoc.asp?DDFDocuments/v/G/SPS/NBRA970.DOC")</f>
        <v>https://docs.wto.org/imrd/directdoc.asp?DDFDocuments/v/G/SPS/NBRA970.DOC</v>
      </c>
      <c r="N1522" s="2" t="str">
        <f>HYPERLINK("http://www.epingalert.org/#/details/G/SPS/N/BRA/970")</f>
        <v>http://www.epingalert.org/#/details/G/SPS/N/BRA/970</v>
      </c>
      <c r="O1522" s="2"/>
    </row>
    <row r="1523" spans="1:15" ht="240" customHeight="1" outlineLevel="1" x14ac:dyDescent="0.25">
      <c r="A1523" s="2" t="s">
        <v>42</v>
      </c>
      <c r="B1523" s="2" t="s">
        <v>5759</v>
      </c>
      <c r="C1523" s="2" t="s">
        <v>5760</v>
      </c>
      <c r="D1523" s="2" t="s">
        <v>5577</v>
      </c>
      <c r="E1523" s="3">
        <v>41856</v>
      </c>
      <c r="F1523" s="2" t="s">
        <v>5761</v>
      </c>
      <c r="G1523" s="2"/>
      <c r="H1523" s="2" t="s">
        <v>2573</v>
      </c>
      <c r="I1523" s="2" t="s">
        <v>2453</v>
      </c>
      <c r="J1523" s="3">
        <v>41873</v>
      </c>
      <c r="K1523" s="2" t="str">
        <f>HYPERLINK("https://docs.wto.org/imrd/directdoc.asp?DDFDocuments/t/G/SPS/NBRA968.DOC")</f>
        <v>https://docs.wto.org/imrd/directdoc.asp?DDFDocuments/t/G/SPS/NBRA968.DOC</v>
      </c>
      <c r="L1523" s="2" t="str">
        <f>HYPERLINK("https://docs.wto.org/imrd/directdoc.asp?DDFDocuments/u/G/SPS/NBRA968.DOC")</f>
        <v>https://docs.wto.org/imrd/directdoc.asp?DDFDocuments/u/G/SPS/NBRA968.DOC</v>
      </c>
      <c r="M1523" s="2" t="str">
        <f>HYPERLINK("https://docs.wto.org/imrd/directdoc.asp?DDFDocuments/v/G/SPS/NBRA968.DOC")</f>
        <v>https://docs.wto.org/imrd/directdoc.asp?DDFDocuments/v/G/SPS/NBRA968.DOC</v>
      </c>
      <c r="N1523" s="2" t="str">
        <f>HYPERLINK("http://www.epingalert.org/#/details/G/SPS/N/BRA/968")</f>
        <v>http://www.epingalert.org/#/details/G/SPS/N/BRA/968</v>
      </c>
      <c r="O1523" s="2"/>
    </row>
    <row r="1524" spans="1:15" ht="240" customHeight="1" outlineLevel="1" x14ac:dyDescent="0.25">
      <c r="A1524" s="2" t="s">
        <v>25</v>
      </c>
      <c r="B1524" s="2" t="s">
        <v>5736</v>
      </c>
      <c r="C1524" s="2" t="s">
        <v>5737</v>
      </c>
      <c r="D1524" s="2" t="s">
        <v>5738</v>
      </c>
      <c r="E1524" s="3">
        <v>41856</v>
      </c>
      <c r="F1524" s="2" t="s">
        <v>4123</v>
      </c>
      <c r="G1524" s="2"/>
      <c r="H1524" s="2" t="s">
        <v>2573</v>
      </c>
      <c r="I1524" s="2" t="s">
        <v>2426</v>
      </c>
      <c r="J1524" s="2"/>
      <c r="K1524" s="2" t="str">
        <f>HYPERLINK("https://docs.wto.org/imrd/directdoc.asp?DDFDocuments/t/G/SPS/NKOR483.DOC")</f>
        <v>https://docs.wto.org/imrd/directdoc.asp?DDFDocuments/t/G/SPS/NKOR483.DOC</v>
      </c>
      <c r="L1524" s="2" t="str">
        <f>HYPERLINK("https://docs.wto.org/imrd/directdoc.asp?DDFDocuments/u/G/SPS/NKOR483.DOC")</f>
        <v>https://docs.wto.org/imrd/directdoc.asp?DDFDocuments/u/G/SPS/NKOR483.DOC</v>
      </c>
      <c r="M1524" s="2" t="str">
        <f>HYPERLINK("https://docs.wto.org/imrd/directdoc.asp?DDFDocuments/v/G/SPS/NKOR483.DOC")</f>
        <v>https://docs.wto.org/imrd/directdoc.asp?DDFDocuments/v/G/SPS/NKOR483.DOC</v>
      </c>
      <c r="N1524" s="2" t="str">
        <f>HYPERLINK("http://www.epingalert.org/#/details/G/SPS/N/KOR/483")</f>
        <v>http://www.epingalert.org/#/details/G/SPS/N/KOR/483</v>
      </c>
      <c r="O1524" s="2"/>
    </row>
    <row r="1525" spans="1:15" ht="240" customHeight="1" outlineLevel="1" x14ac:dyDescent="0.25">
      <c r="A1525" s="2" t="s">
        <v>380</v>
      </c>
      <c r="B1525" s="2" t="s">
        <v>5764</v>
      </c>
      <c r="C1525" s="2" t="s">
        <v>5765</v>
      </c>
      <c r="D1525" s="2" t="s">
        <v>5766</v>
      </c>
      <c r="E1525" s="3">
        <v>41855</v>
      </c>
      <c r="F1525" s="2" t="s">
        <v>5767</v>
      </c>
      <c r="G1525" s="2"/>
      <c r="H1525" s="2" t="s">
        <v>2573</v>
      </c>
      <c r="I1525" s="2" t="s">
        <v>2426</v>
      </c>
      <c r="J1525" s="3">
        <v>41915</v>
      </c>
      <c r="K1525" s="2" t="str">
        <f>HYPERLINK("https://docs.wto.org/imrd/directdoc.asp?DDFDocuments/t/G/SPS/NCHN665.DOC")</f>
        <v>https://docs.wto.org/imrd/directdoc.asp?DDFDocuments/t/G/SPS/NCHN665.DOC</v>
      </c>
      <c r="L1525" s="2" t="str">
        <f>HYPERLINK("https://docs.wto.org/imrd/directdoc.asp?DDFDocuments/u/G/SPS/NCHN665.DOC")</f>
        <v>https://docs.wto.org/imrd/directdoc.asp?DDFDocuments/u/G/SPS/NCHN665.DOC</v>
      </c>
      <c r="M1525" s="2" t="str">
        <f>HYPERLINK("https://docs.wto.org/imrd/directdoc.asp?DDFDocuments/v/G/SPS/NCHN665.DOC")</f>
        <v>https://docs.wto.org/imrd/directdoc.asp?DDFDocuments/v/G/SPS/NCHN665.DOC</v>
      </c>
      <c r="N1525" s="2" t="str">
        <f>HYPERLINK("http://www.epingalert.org/#/details/G/SPS/N/CHN/665")</f>
        <v>http://www.epingalert.org/#/details/G/SPS/N/CHN/665</v>
      </c>
      <c r="O1525" s="2"/>
    </row>
    <row r="1526" spans="1:15" ht="240" customHeight="1" outlineLevel="1" x14ac:dyDescent="0.25">
      <c r="A1526" s="2" t="s">
        <v>380</v>
      </c>
      <c r="B1526" s="2" t="s">
        <v>5768</v>
      </c>
      <c r="C1526" s="2" t="s">
        <v>5769</v>
      </c>
      <c r="D1526" s="2" t="s">
        <v>5770</v>
      </c>
      <c r="E1526" s="3">
        <v>41855</v>
      </c>
      <c r="F1526" s="2" t="s">
        <v>5771</v>
      </c>
      <c r="G1526" s="2"/>
      <c r="H1526" s="2" t="s">
        <v>2573</v>
      </c>
      <c r="I1526" s="2" t="s">
        <v>2426</v>
      </c>
      <c r="J1526" s="3">
        <v>41915</v>
      </c>
      <c r="K1526" s="2" t="str">
        <f>HYPERLINK("https://docs.wto.org/imrd/directdoc.asp?DDFDocuments/t/G/SPS/NCHN664.DOC")</f>
        <v>https://docs.wto.org/imrd/directdoc.asp?DDFDocuments/t/G/SPS/NCHN664.DOC</v>
      </c>
      <c r="L1526" s="2" t="str">
        <f>HYPERLINK("https://docs.wto.org/imrd/directdoc.asp?DDFDocuments/u/G/SPS/NCHN664.DOC")</f>
        <v>https://docs.wto.org/imrd/directdoc.asp?DDFDocuments/u/G/SPS/NCHN664.DOC</v>
      </c>
      <c r="M1526" s="2" t="str">
        <f>HYPERLINK("https://docs.wto.org/imrd/directdoc.asp?DDFDocuments/v/G/SPS/NCHN664.DOC")</f>
        <v>https://docs.wto.org/imrd/directdoc.asp?DDFDocuments/v/G/SPS/NCHN664.DOC</v>
      </c>
      <c r="N1526" s="2" t="str">
        <f>HYPERLINK("http://www.epingalert.org/#/details/G/SPS/N/CHN/664")</f>
        <v>http://www.epingalert.org/#/details/G/SPS/N/CHN/664</v>
      </c>
      <c r="O1526" s="2"/>
    </row>
    <row r="1527" spans="1:15" ht="240" customHeight="1" outlineLevel="1" x14ac:dyDescent="0.25">
      <c r="A1527" s="2" t="s">
        <v>380</v>
      </c>
      <c r="B1527" s="2" t="s">
        <v>5772</v>
      </c>
      <c r="C1527" s="2" t="s">
        <v>5773</v>
      </c>
      <c r="D1527" s="2" t="s">
        <v>5774</v>
      </c>
      <c r="E1527" s="3">
        <v>41855</v>
      </c>
      <c r="F1527" s="2" t="s">
        <v>5775</v>
      </c>
      <c r="G1527" s="2"/>
      <c r="H1527" s="2" t="s">
        <v>2573</v>
      </c>
      <c r="I1527" s="2" t="s">
        <v>2426</v>
      </c>
      <c r="J1527" s="3">
        <v>41915</v>
      </c>
      <c r="K1527" s="2" t="str">
        <f>HYPERLINK("https://docs.wto.org/imrd/directdoc.asp?DDFDocuments/t/G/SPS/NCHN663.DOC")</f>
        <v>https://docs.wto.org/imrd/directdoc.asp?DDFDocuments/t/G/SPS/NCHN663.DOC</v>
      </c>
      <c r="L1527" s="2" t="str">
        <f>HYPERLINK("https://docs.wto.org/imrd/directdoc.asp?DDFDocuments/u/G/SPS/NCHN663.DOC")</f>
        <v>https://docs.wto.org/imrd/directdoc.asp?DDFDocuments/u/G/SPS/NCHN663.DOC</v>
      </c>
      <c r="M1527" s="2" t="str">
        <f>HYPERLINK("https://docs.wto.org/imrd/directdoc.asp?DDFDocuments/v/G/SPS/NCHN663.DOC")</f>
        <v>https://docs.wto.org/imrd/directdoc.asp?DDFDocuments/v/G/SPS/NCHN663.DOC</v>
      </c>
      <c r="N1527" s="2" t="str">
        <f>HYPERLINK("http://www.epingalert.org/#/details/G/SPS/N/CHN/663")</f>
        <v>http://www.epingalert.org/#/details/G/SPS/N/CHN/663</v>
      </c>
      <c r="O1527" s="2"/>
    </row>
    <row r="1528" spans="1:15" ht="240" customHeight="1" outlineLevel="1" x14ac:dyDescent="0.25">
      <c r="A1528" s="2" t="s">
        <v>380</v>
      </c>
      <c r="B1528" s="2" t="s">
        <v>5776</v>
      </c>
      <c r="C1528" s="2" t="s">
        <v>5777</v>
      </c>
      <c r="D1528" s="2" t="s">
        <v>5778</v>
      </c>
      <c r="E1528" s="3">
        <v>41855</v>
      </c>
      <c r="F1528" s="2" t="s">
        <v>5779</v>
      </c>
      <c r="G1528" s="2"/>
      <c r="H1528" s="2" t="s">
        <v>2573</v>
      </c>
      <c r="I1528" s="2" t="s">
        <v>2426</v>
      </c>
      <c r="J1528" s="3">
        <v>41915</v>
      </c>
      <c r="K1528" s="2" t="str">
        <f>HYPERLINK("https://docs.wto.org/imrd/directdoc.asp?DDFDocuments/t/G/SPS/NCHN662.DOC")</f>
        <v>https://docs.wto.org/imrd/directdoc.asp?DDFDocuments/t/G/SPS/NCHN662.DOC</v>
      </c>
      <c r="L1528" s="2" t="str">
        <f>HYPERLINK("https://docs.wto.org/imrd/directdoc.asp?DDFDocuments/u/G/SPS/NCHN662.DOC")</f>
        <v>https://docs.wto.org/imrd/directdoc.asp?DDFDocuments/u/G/SPS/NCHN662.DOC</v>
      </c>
      <c r="M1528" s="2" t="str">
        <f>HYPERLINK("https://docs.wto.org/imrd/directdoc.asp?DDFDocuments/v/G/SPS/NCHN662.DOC")</f>
        <v>https://docs.wto.org/imrd/directdoc.asp?DDFDocuments/v/G/SPS/NCHN662.DOC</v>
      </c>
      <c r="N1528" s="2" t="str">
        <f>HYPERLINK("http://www.epingalert.org/#/details/G/SPS/N/CHN/662")</f>
        <v>http://www.epingalert.org/#/details/G/SPS/N/CHN/662</v>
      </c>
      <c r="O1528" s="2"/>
    </row>
    <row r="1529" spans="1:15" ht="240" customHeight="1" outlineLevel="1" x14ac:dyDescent="0.25">
      <c r="A1529" s="2" t="s">
        <v>380</v>
      </c>
      <c r="B1529" s="2" t="s">
        <v>5780</v>
      </c>
      <c r="C1529" s="2" t="s">
        <v>5781</v>
      </c>
      <c r="D1529" s="2" t="s">
        <v>5782</v>
      </c>
      <c r="E1529" s="3">
        <v>41855</v>
      </c>
      <c r="F1529" s="2" t="s">
        <v>5783</v>
      </c>
      <c r="G1529" s="2"/>
      <c r="H1529" s="2" t="s">
        <v>2573</v>
      </c>
      <c r="I1529" s="2" t="s">
        <v>2426</v>
      </c>
      <c r="J1529" s="3">
        <v>41915</v>
      </c>
      <c r="K1529" s="2" t="str">
        <f>HYPERLINK("https://docs.wto.org/imrd/directdoc.asp?DDFDocuments/t/G/SPS/NCHN661.DOC")</f>
        <v>https://docs.wto.org/imrd/directdoc.asp?DDFDocuments/t/G/SPS/NCHN661.DOC</v>
      </c>
      <c r="L1529" s="2" t="str">
        <f>HYPERLINK("https://docs.wto.org/imrd/directdoc.asp?DDFDocuments/u/G/SPS/NCHN661.DOC")</f>
        <v>https://docs.wto.org/imrd/directdoc.asp?DDFDocuments/u/G/SPS/NCHN661.DOC</v>
      </c>
      <c r="M1529" s="2" t="str">
        <f>HYPERLINK("https://docs.wto.org/imrd/directdoc.asp?DDFDocuments/v/G/SPS/NCHN661.DOC")</f>
        <v>https://docs.wto.org/imrd/directdoc.asp?DDFDocuments/v/G/SPS/NCHN661.DOC</v>
      </c>
      <c r="N1529" s="2" t="str">
        <f>HYPERLINK("http://www.epingalert.org/#/details/G/SPS/N/CHN/661")</f>
        <v>http://www.epingalert.org/#/details/G/SPS/N/CHN/661</v>
      </c>
      <c r="O1529" s="2"/>
    </row>
    <row r="1530" spans="1:15" ht="240" customHeight="1" outlineLevel="1" x14ac:dyDescent="0.25">
      <c r="A1530" s="2" t="s">
        <v>380</v>
      </c>
      <c r="B1530" s="2" t="s">
        <v>5784</v>
      </c>
      <c r="C1530" s="2" t="s">
        <v>5785</v>
      </c>
      <c r="D1530" s="2" t="s">
        <v>5786</v>
      </c>
      <c r="E1530" s="3">
        <v>41855</v>
      </c>
      <c r="F1530" s="2" t="s">
        <v>5787</v>
      </c>
      <c r="G1530" s="2"/>
      <c r="H1530" s="2" t="s">
        <v>2573</v>
      </c>
      <c r="I1530" s="2" t="s">
        <v>2426</v>
      </c>
      <c r="J1530" s="3">
        <v>41915</v>
      </c>
      <c r="K1530" s="2" t="str">
        <f>HYPERLINK("https://docs.wto.org/imrd/directdoc.asp?DDFDocuments/t/G/SPS/NCHN660.DOC")</f>
        <v>https://docs.wto.org/imrd/directdoc.asp?DDFDocuments/t/G/SPS/NCHN660.DOC</v>
      </c>
      <c r="L1530" s="2" t="str">
        <f>HYPERLINK("https://docs.wto.org/imrd/directdoc.asp?DDFDocuments/u/G/SPS/NCHN660.DOC")</f>
        <v>https://docs.wto.org/imrd/directdoc.asp?DDFDocuments/u/G/SPS/NCHN660.DOC</v>
      </c>
      <c r="M1530" s="2" t="str">
        <f>HYPERLINK("https://docs.wto.org/imrd/directdoc.asp?DDFDocuments/v/G/SPS/NCHN660.DOC")</f>
        <v>https://docs.wto.org/imrd/directdoc.asp?DDFDocuments/v/G/SPS/NCHN660.DOC</v>
      </c>
      <c r="N1530" s="2" t="str">
        <f>HYPERLINK("http://www.epingalert.org/#/details/G/SPS/N/CHN/660")</f>
        <v>http://www.epingalert.org/#/details/G/SPS/N/CHN/660</v>
      </c>
      <c r="O1530" s="2"/>
    </row>
    <row r="1531" spans="1:15" ht="240" customHeight="1" outlineLevel="1" x14ac:dyDescent="0.25">
      <c r="A1531" s="2" t="s">
        <v>380</v>
      </c>
      <c r="B1531" s="2" t="s">
        <v>5788</v>
      </c>
      <c r="C1531" s="2" t="s">
        <v>5789</v>
      </c>
      <c r="D1531" s="2" t="s">
        <v>5790</v>
      </c>
      <c r="E1531" s="3">
        <v>41855</v>
      </c>
      <c r="F1531" s="2" t="s">
        <v>5791</v>
      </c>
      <c r="G1531" s="2"/>
      <c r="H1531" s="2" t="s">
        <v>2573</v>
      </c>
      <c r="I1531" s="2" t="s">
        <v>2447</v>
      </c>
      <c r="J1531" s="3">
        <v>41915</v>
      </c>
      <c r="K1531" s="2" t="str">
        <f>HYPERLINK("https://docs.wto.org/imrd/directdoc.asp?DDFDocuments/t/G/SPS/NCHN685.DOC")</f>
        <v>https://docs.wto.org/imrd/directdoc.asp?DDFDocuments/t/G/SPS/NCHN685.DOC</v>
      </c>
      <c r="L1531" s="2" t="str">
        <f>HYPERLINK("https://docs.wto.org/imrd/directdoc.asp?DDFDocuments/u/G/SPS/NCHN685.DOC")</f>
        <v>https://docs.wto.org/imrd/directdoc.asp?DDFDocuments/u/G/SPS/NCHN685.DOC</v>
      </c>
      <c r="M1531" s="2" t="str">
        <f>HYPERLINK("https://docs.wto.org/imrd/directdoc.asp?DDFDocuments/v/G/SPS/NCHN685.DOC")</f>
        <v>https://docs.wto.org/imrd/directdoc.asp?DDFDocuments/v/G/SPS/NCHN685.DOC</v>
      </c>
      <c r="N1531" s="2" t="str">
        <f>HYPERLINK("http://www.epingalert.org/#/details/G/SPS/N/CHN/685")</f>
        <v>http://www.epingalert.org/#/details/G/SPS/N/CHN/685</v>
      </c>
      <c r="O1531" s="2"/>
    </row>
    <row r="1532" spans="1:15" ht="240" customHeight="1" outlineLevel="1" x14ac:dyDescent="0.25">
      <c r="A1532" s="2" t="s">
        <v>380</v>
      </c>
      <c r="B1532" s="2" t="s">
        <v>5792</v>
      </c>
      <c r="C1532" s="2" t="s">
        <v>5793</v>
      </c>
      <c r="D1532" s="2" t="s">
        <v>5794</v>
      </c>
      <c r="E1532" s="3">
        <v>41855</v>
      </c>
      <c r="F1532" s="2" t="s">
        <v>5795</v>
      </c>
      <c r="G1532" s="2"/>
      <c r="H1532" s="2" t="s">
        <v>2573</v>
      </c>
      <c r="I1532" s="2" t="s">
        <v>2426</v>
      </c>
      <c r="J1532" s="3">
        <v>41915</v>
      </c>
      <c r="K1532" s="2" t="str">
        <f>HYPERLINK("https://docs.wto.org/imrd/directdoc.asp?DDFDocuments/t/G/SPS/NCHN684.DOC")</f>
        <v>https://docs.wto.org/imrd/directdoc.asp?DDFDocuments/t/G/SPS/NCHN684.DOC</v>
      </c>
      <c r="L1532" s="2" t="str">
        <f>HYPERLINK("https://docs.wto.org/imrd/directdoc.asp?DDFDocuments/u/G/SPS/NCHN684.DOC")</f>
        <v>https://docs.wto.org/imrd/directdoc.asp?DDFDocuments/u/G/SPS/NCHN684.DOC</v>
      </c>
      <c r="M1532" s="2" t="str">
        <f>HYPERLINK("https://docs.wto.org/imrd/directdoc.asp?DDFDocuments/v/G/SPS/NCHN684.DOC")</f>
        <v>https://docs.wto.org/imrd/directdoc.asp?DDFDocuments/v/G/SPS/NCHN684.DOC</v>
      </c>
      <c r="N1532" s="2" t="str">
        <f>HYPERLINK("http://www.epingalert.org/#/details/G/SPS/N/CHN/684")</f>
        <v>http://www.epingalert.org/#/details/G/SPS/N/CHN/684</v>
      </c>
      <c r="O1532" s="2"/>
    </row>
    <row r="1533" spans="1:15" ht="240" customHeight="1" outlineLevel="1" x14ac:dyDescent="0.25">
      <c r="A1533" s="2" t="s">
        <v>380</v>
      </c>
      <c r="B1533" s="2" t="s">
        <v>5796</v>
      </c>
      <c r="C1533" s="2" t="s">
        <v>5797</v>
      </c>
      <c r="D1533" s="2" t="s">
        <v>5798</v>
      </c>
      <c r="E1533" s="3">
        <v>41855</v>
      </c>
      <c r="F1533" s="2" t="s">
        <v>5799</v>
      </c>
      <c r="G1533" s="2"/>
      <c r="H1533" s="2" t="s">
        <v>2573</v>
      </c>
      <c r="I1533" s="2" t="s">
        <v>2426</v>
      </c>
      <c r="J1533" s="3">
        <v>41915</v>
      </c>
      <c r="K1533" s="2" t="str">
        <f>HYPERLINK("https://docs.wto.org/imrd/directdoc.asp?DDFDocuments/t/G/SPS/NCHN683.DOC")</f>
        <v>https://docs.wto.org/imrd/directdoc.asp?DDFDocuments/t/G/SPS/NCHN683.DOC</v>
      </c>
      <c r="L1533" s="2" t="str">
        <f>HYPERLINK("https://docs.wto.org/imrd/directdoc.asp?DDFDocuments/u/G/SPS/NCHN683.DOC")</f>
        <v>https://docs.wto.org/imrd/directdoc.asp?DDFDocuments/u/G/SPS/NCHN683.DOC</v>
      </c>
      <c r="M1533" s="2" t="str">
        <f>HYPERLINK("https://docs.wto.org/imrd/directdoc.asp?DDFDocuments/v/G/SPS/NCHN683.DOC")</f>
        <v>https://docs.wto.org/imrd/directdoc.asp?DDFDocuments/v/G/SPS/NCHN683.DOC</v>
      </c>
      <c r="N1533" s="2" t="str">
        <f>HYPERLINK("http://www.epingalert.org/#/details/G/SPS/N/CHN/683")</f>
        <v>http://www.epingalert.org/#/details/G/SPS/N/CHN/683</v>
      </c>
      <c r="O1533" s="2"/>
    </row>
    <row r="1534" spans="1:15" ht="240" customHeight="1" outlineLevel="1" x14ac:dyDescent="0.25">
      <c r="A1534" s="2" t="s">
        <v>380</v>
      </c>
      <c r="B1534" s="2" t="s">
        <v>5800</v>
      </c>
      <c r="C1534" s="2" t="s">
        <v>5801</v>
      </c>
      <c r="D1534" s="2" t="s">
        <v>5802</v>
      </c>
      <c r="E1534" s="3">
        <v>41855</v>
      </c>
      <c r="F1534" s="2" t="s">
        <v>5803</v>
      </c>
      <c r="G1534" s="2"/>
      <c r="H1534" s="2" t="s">
        <v>2573</v>
      </c>
      <c r="I1534" s="2" t="s">
        <v>2426</v>
      </c>
      <c r="J1534" s="3">
        <v>41915</v>
      </c>
      <c r="K1534" s="2" t="str">
        <f>HYPERLINK("https://docs.wto.org/imrd/directdoc.asp?DDFDocuments/t/G/SPS/NCHN682.DOC")</f>
        <v>https://docs.wto.org/imrd/directdoc.asp?DDFDocuments/t/G/SPS/NCHN682.DOC</v>
      </c>
      <c r="L1534" s="2" t="str">
        <f>HYPERLINK("https://docs.wto.org/imrd/directdoc.asp?DDFDocuments/u/G/SPS/NCHN682.DOC")</f>
        <v>https://docs.wto.org/imrd/directdoc.asp?DDFDocuments/u/G/SPS/NCHN682.DOC</v>
      </c>
      <c r="M1534" s="2" t="str">
        <f>HYPERLINK("https://docs.wto.org/imrd/directdoc.asp?DDFDocuments/v/G/SPS/NCHN682.DOC")</f>
        <v>https://docs.wto.org/imrd/directdoc.asp?DDFDocuments/v/G/SPS/NCHN682.DOC</v>
      </c>
      <c r="N1534" s="2" t="str">
        <f>HYPERLINK("http://www.epingalert.org/#/details/G/SPS/N/CHN/682")</f>
        <v>http://www.epingalert.org/#/details/G/SPS/N/CHN/682</v>
      </c>
      <c r="O1534" s="2"/>
    </row>
    <row r="1535" spans="1:15" ht="240" customHeight="1" outlineLevel="1" x14ac:dyDescent="0.25">
      <c r="A1535" s="2" t="s">
        <v>380</v>
      </c>
      <c r="B1535" s="2" t="s">
        <v>5804</v>
      </c>
      <c r="C1535" s="2" t="s">
        <v>5805</v>
      </c>
      <c r="D1535" s="2" t="s">
        <v>5806</v>
      </c>
      <c r="E1535" s="3">
        <v>41855</v>
      </c>
      <c r="F1535" s="2" t="s">
        <v>5807</v>
      </c>
      <c r="G1535" s="2"/>
      <c r="H1535" s="2" t="s">
        <v>2573</v>
      </c>
      <c r="I1535" s="2" t="s">
        <v>2426</v>
      </c>
      <c r="J1535" s="3">
        <v>41915</v>
      </c>
      <c r="K1535" s="2" t="str">
        <f>HYPERLINK("https://docs.wto.org/imrd/directdoc.asp?DDFDocuments/t/G/SPS/NCHN681.DOC")</f>
        <v>https://docs.wto.org/imrd/directdoc.asp?DDFDocuments/t/G/SPS/NCHN681.DOC</v>
      </c>
      <c r="L1535" s="2" t="str">
        <f>HYPERLINK("https://docs.wto.org/imrd/directdoc.asp?DDFDocuments/u/G/SPS/NCHN681.DOC")</f>
        <v>https://docs.wto.org/imrd/directdoc.asp?DDFDocuments/u/G/SPS/NCHN681.DOC</v>
      </c>
      <c r="M1535" s="2" t="str">
        <f>HYPERLINK("https://docs.wto.org/imrd/directdoc.asp?DDFDocuments/v/G/SPS/NCHN681.DOC")</f>
        <v>https://docs.wto.org/imrd/directdoc.asp?DDFDocuments/v/G/SPS/NCHN681.DOC</v>
      </c>
      <c r="N1535" s="2" t="str">
        <f>HYPERLINK("http://www.epingalert.org/#/details/G/SPS/N/CHN/681")</f>
        <v>http://www.epingalert.org/#/details/G/SPS/N/CHN/681</v>
      </c>
      <c r="O1535" s="2"/>
    </row>
    <row r="1536" spans="1:15" ht="240" customHeight="1" outlineLevel="1" x14ac:dyDescent="0.25">
      <c r="A1536" s="2" t="s">
        <v>380</v>
      </c>
      <c r="B1536" s="2" t="s">
        <v>5808</v>
      </c>
      <c r="C1536" s="2" t="s">
        <v>5809</v>
      </c>
      <c r="D1536" s="2" t="s">
        <v>5810</v>
      </c>
      <c r="E1536" s="3">
        <v>41855</v>
      </c>
      <c r="F1536" s="2" t="s">
        <v>5811</v>
      </c>
      <c r="G1536" s="2"/>
      <c r="H1536" s="2" t="s">
        <v>2573</v>
      </c>
      <c r="I1536" s="2" t="s">
        <v>2426</v>
      </c>
      <c r="J1536" s="3">
        <v>41915</v>
      </c>
      <c r="K1536" s="2" t="str">
        <f>HYPERLINK("https://docs.wto.org/imrd/directdoc.asp?DDFDocuments/t/G/SPS/NCHN680.DOC")</f>
        <v>https://docs.wto.org/imrd/directdoc.asp?DDFDocuments/t/G/SPS/NCHN680.DOC</v>
      </c>
      <c r="L1536" s="2" t="str">
        <f>HYPERLINK("https://docs.wto.org/imrd/directdoc.asp?DDFDocuments/u/G/SPS/NCHN680.DOC")</f>
        <v>https://docs.wto.org/imrd/directdoc.asp?DDFDocuments/u/G/SPS/NCHN680.DOC</v>
      </c>
      <c r="M1536" s="2" t="str">
        <f>HYPERLINK("https://docs.wto.org/imrd/directdoc.asp?DDFDocuments/v/G/SPS/NCHN680.DOC")</f>
        <v>https://docs.wto.org/imrd/directdoc.asp?DDFDocuments/v/G/SPS/NCHN680.DOC</v>
      </c>
      <c r="N1536" s="2" t="str">
        <f>HYPERLINK("http://www.epingalert.org/#/details/G/SPS/N/CHN/680")</f>
        <v>http://www.epingalert.org/#/details/G/SPS/N/CHN/680</v>
      </c>
      <c r="O1536" s="2"/>
    </row>
    <row r="1537" spans="1:15" ht="240" customHeight="1" outlineLevel="1" x14ac:dyDescent="0.25">
      <c r="A1537" s="2" t="s">
        <v>380</v>
      </c>
      <c r="B1537" s="2" t="s">
        <v>5812</v>
      </c>
      <c r="C1537" s="2" t="s">
        <v>5813</v>
      </c>
      <c r="D1537" s="2" t="s">
        <v>5814</v>
      </c>
      <c r="E1537" s="3">
        <v>41855</v>
      </c>
      <c r="F1537" s="2" t="s">
        <v>5815</v>
      </c>
      <c r="G1537" s="2"/>
      <c r="H1537" s="2" t="s">
        <v>2573</v>
      </c>
      <c r="I1537" s="2" t="s">
        <v>2426</v>
      </c>
      <c r="J1537" s="3">
        <v>41915</v>
      </c>
      <c r="K1537" s="2" t="str">
        <f>HYPERLINK("https://docs.wto.org/imrd/directdoc.asp?DDFDocuments/t/G/SPS/NCHN679.DOC")</f>
        <v>https://docs.wto.org/imrd/directdoc.asp?DDFDocuments/t/G/SPS/NCHN679.DOC</v>
      </c>
      <c r="L1537" s="2" t="str">
        <f>HYPERLINK("https://docs.wto.org/imrd/directdoc.asp?DDFDocuments/u/G/SPS/NCHN679.DOC")</f>
        <v>https://docs.wto.org/imrd/directdoc.asp?DDFDocuments/u/G/SPS/NCHN679.DOC</v>
      </c>
      <c r="M1537" s="2" t="str">
        <f>HYPERLINK("https://docs.wto.org/imrd/directdoc.asp?DDFDocuments/v/G/SPS/NCHN679.DOC")</f>
        <v>https://docs.wto.org/imrd/directdoc.asp?DDFDocuments/v/G/SPS/NCHN679.DOC</v>
      </c>
      <c r="N1537" s="2" t="str">
        <f>HYPERLINK("http://www.epingalert.org/#/details/G/SPS/N/CHN/679")</f>
        <v>http://www.epingalert.org/#/details/G/SPS/N/CHN/679</v>
      </c>
      <c r="O1537" s="2"/>
    </row>
    <row r="1538" spans="1:15" ht="240" customHeight="1" outlineLevel="1" x14ac:dyDescent="0.25">
      <c r="A1538" s="2" t="s">
        <v>380</v>
      </c>
      <c r="B1538" s="2" t="s">
        <v>5816</v>
      </c>
      <c r="C1538" s="2" t="s">
        <v>5817</v>
      </c>
      <c r="D1538" s="2" t="s">
        <v>5818</v>
      </c>
      <c r="E1538" s="3">
        <v>41855</v>
      </c>
      <c r="F1538" s="2" t="s">
        <v>5819</v>
      </c>
      <c r="G1538" s="2"/>
      <c r="H1538" s="2" t="s">
        <v>2573</v>
      </c>
      <c r="I1538" s="2" t="s">
        <v>2426</v>
      </c>
      <c r="J1538" s="3">
        <v>41915</v>
      </c>
      <c r="K1538" s="2" t="str">
        <f>HYPERLINK("https://docs.wto.org/imrd/directdoc.asp?DDFDocuments/t/G/SPS/NCHN678.DOC")</f>
        <v>https://docs.wto.org/imrd/directdoc.asp?DDFDocuments/t/G/SPS/NCHN678.DOC</v>
      </c>
      <c r="L1538" s="2" t="str">
        <f>HYPERLINK("https://docs.wto.org/imrd/directdoc.asp?DDFDocuments/u/G/SPS/NCHN678.DOC")</f>
        <v>https://docs.wto.org/imrd/directdoc.asp?DDFDocuments/u/G/SPS/NCHN678.DOC</v>
      </c>
      <c r="M1538" s="2" t="str">
        <f>HYPERLINK("https://docs.wto.org/imrd/directdoc.asp?DDFDocuments/v/G/SPS/NCHN678.DOC")</f>
        <v>https://docs.wto.org/imrd/directdoc.asp?DDFDocuments/v/G/SPS/NCHN678.DOC</v>
      </c>
      <c r="N1538" s="2" t="str">
        <f>HYPERLINK("http://www.epingalert.org/#/details/G/SPS/N/CHN/678")</f>
        <v>http://www.epingalert.org/#/details/G/SPS/N/CHN/678</v>
      </c>
      <c r="O1538" s="2"/>
    </row>
    <row r="1539" spans="1:15" ht="240" customHeight="1" outlineLevel="1" x14ac:dyDescent="0.25">
      <c r="A1539" s="2" t="s">
        <v>380</v>
      </c>
      <c r="B1539" s="2" t="s">
        <v>5820</v>
      </c>
      <c r="C1539" s="2" t="s">
        <v>5821</v>
      </c>
      <c r="D1539" s="2" t="s">
        <v>5822</v>
      </c>
      <c r="E1539" s="3">
        <v>41855</v>
      </c>
      <c r="F1539" s="2" t="s">
        <v>5823</v>
      </c>
      <c r="G1539" s="2"/>
      <c r="H1539" s="2" t="s">
        <v>2573</v>
      </c>
      <c r="I1539" s="2" t="s">
        <v>2426</v>
      </c>
      <c r="J1539" s="3">
        <v>41915</v>
      </c>
      <c r="K1539" s="2" t="str">
        <f>HYPERLINK("https://docs.wto.org/imrd/directdoc.asp?DDFDocuments/t/G/SPS/NCHN677.DOC")</f>
        <v>https://docs.wto.org/imrd/directdoc.asp?DDFDocuments/t/G/SPS/NCHN677.DOC</v>
      </c>
      <c r="L1539" s="2" t="str">
        <f>HYPERLINK("https://docs.wto.org/imrd/directdoc.asp?DDFDocuments/u/G/SPS/NCHN677.DOC")</f>
        <v>https://docs.wto.org/imrd/directdoc.asp?DDFDocuments/u/G/SPS/NCHN677.DOC</v>
      </c>
      <c r="M1539" s="2" t="str">
        <f>HYPERLINK("https://docs.wto.org/imrd/directdoc.asp?DDFDocuments/v/G/SPS/NCHN677.DOC")</f>
        <v>https://docs.wto.org/imrd/directdoc.asp?DDFDocuments/v/G/SPS/NCHN677.DOC</v>
      </c>
      <c r="N1539" s="2" t="str">
        <f>HYPERLINK("http://www.epingalert.org/#/details/G/SPS/N/CHN/677")</f>
        <v>http://www.epingalert.org/#/details/G/SPS/N/CHN/677</v>
      </c>
      <c r="O1539" s="2"/>
    </row>
    <row r="1540" spans="1:15" ht="240" customHeight="1" outlineLevel="1" x14ac:dyDescent="0.25">
      <c r="A1540" s="2" t="s">
        <v>380</v>
      </c>
      <c r="B1540" s="2" t="s">
        <v>5824</v>
      </c>
      <c r="C1540" s="2" t="s">
        <v>5825</v>
      </c>
      <c r="D1540" s="2" t="s">
        <v>5826</v>
      </c>
      <c r="E1540" s="3">
        <v>41855</v>
      </c>
      <c r="F1540" s="2" t="s">
        <v>5827</v>
      </c>
      <c r="G1540" s="2"/>
      <c r="H1540" s="2" t="s">
        <v>2573</v>
      </c>
      <c r="I1540" s="2" t="s">
        <v>2426</v>
      </c>
      <c r="J1540" s="3">
        <v>41915</v>
      </c>
      <c r="K1540" s="2" t="str">
        <f>HYPERLINK("https://docs.wto.org/imrd/directdoc.asp?DDFDocuments/t/G/SPS/NCHN676.DOC")</f>
        <v>https://docs.wto.org/imrd/directdoc.asp?DDFDocuments/t/G/SPS/NCHN676.DOC</v>
      </c>
      <c r="L1540" s="2" t="str">
        <f>HYPERLINK("https://docs.wto.org/imrd/directdoc.asp?DDFDocuments/u/G/SPS/NCHN676.DOC")</f>
        <v>https://docs.wto.org/imrd/directdoc.asp?DDFDocuments/u/G/SPS/NCHN676.DOC</v>
      </c>
      <c r="M1540" s="2" t="str">
        <f>HYPERLINK("https://docs.wto.org/imrd/directdoc.asp?DDFDocuments/v/G/SPS/NCHN676.DOC")</f>
        <v>https://docs.wto.org/imrd/directdoc.asp?DDFDocuments/v/G/SPS/NCHN676.DOC</v>
      </c>
      <c r="N1540" s="2" t="str">
        <f>HYPERLINK("http://www.epingalert.org/#/details/G/SPS/N/CHN/676")</f>
        <v>http://www.epingalert.org/#/details/G/SPS/N/CHN/676</v>
      </c>
      <c r="O1540" s="2"/>
    </row>
    <row r="1541" spans="1:15" ht="240" customHeight="1" outlineLevel="1" x14ac:dyDescent="0.25">
      <c r="A1541" s="2" t="s">
        <v>380</v>
      </c>
      <c r="B1541" s="2" t="s">
        <v>5828</v>
      </c>
      <c r="C1541" s="2" t="s">
        <v>5829</v>
      </c>
      <c r="D1541" s="2" t="s">
        <v>5830</v>
      </c>
      <c r="E1541" s="3">
        <v>41855</v>
      </c>
      <c r="F1541" s="2" t="s">
        <v>5831</v>
      </c>
      <c r="G1541" s="2"/>
      <c r="H1541" s="2" t="s">
        <v>2573</v>
      </c>
      <c r="I1541" s="2" t="s">
        <v>2426</v>
      </c>
      <c r="J1541" s="3">
        <v>41915</v>
      </c>
      <c r="K1541" s="2" t="str">
        <f>HYPERLINK("https://docs.wto.org/imrd/directdoc.asp?DDFDocuments/t/G/SPS/NCHN675.DOC")</f>
        <v>https://docs.wto.org/imrd/directdoc.asp?DDFDocuments/t/G/SPS/NCHN675.DOC</v>
      </c>
      <c r="L1541" s="2" t="str">
        <f>HYPERLINK("https://docs.wto.org/imrd/directdoc.asp?DDFDocuments/u/G/SPS/NCHN675.DOC")</f>
        <v>https://docs.wto.org/imrd/directdoc.asp?DDFDocuments/u/G/SPS/NCHN675.DOC</v>
      </c>
      <c r="M1541" s="2" t="str">
        <f>HYPERLINK("https://docs.wto.org/imrd/directdoc.asp?DDFDocuments/v/G/SPS/NCHN675.DOC")</f>
        <v>https://docs.wto.org/imrd/directdoc.asp?DDFDocuments/v/G/SPS/NCHN675.DOC</v>
      </c>
      <c r="N1541" s="2" t="str">
        <f>HYPERLINK("http://www.epingalert.org/#/details/G/SPS/N/CHN/675")</f>
        <v>http://www.epingalert.org/#/details/G/SPS/N/CHN/675</v>
      </c>
      <c r="O1541" s="2"/>
    </row>
    <row r="1542" spans="1:15" ht="240" customHeight="1" outlineLevel="1" x14ac:dyDescent="0.25">
      <c r="A1542" s="2" t="s">
        <v>380</v>
      </c>
      <c r="B1542" s="2" t="s">
        <v>5832</v>
      </c>
      <c r="C1542" s="2" t="s">
        <v>5833</v>
      </c>
      <c r="D1542" s="2" t="s">
        <v>5834</v>
      </c>
      <c r="E1542" s="3">
        <v>41855</v>
      </c>
      <c r="F1542" s="2" t="s">
        <v>5835</v>
      </c>
      <c r="G1542" s="2"/>
      <c r="H1542" s="2" t="s">
        <v>2573</v>
      </c>
      <c r="I1542" s="2" t="s">
        <v>2426</v>
      </c>
      <c r="J1542" s="3">
        <v>41915</v>
      </c>
      <c r="K1542" s="2" t="str">
        <f>HYPERLINK("https://docs.wto.org/imrd/directdoc.asp?DDFDocuments/t/G/SPS/NCHN674.DOC")</f>
        <v>https://docs.wto.org/imrd/directdoc.asp?DDFDocuments/t/G/SPS/NCHN674.DOC</v>
      </c>
      <c r="L1542" s="2" t="str">
        <f>HYPERLINK("https://docs.wto.org/imrd/directdoc.asp?DDFDocuments/u/G/SPS/NCHN674.DOC")</f>
        <v>https://docs.wto.org/imrd/directdoc.asp?DDFDocuments/u/G/SPS/NCHN674.DOC</v>
      </c>
      <c r="M1542" s="2" t="str">
        <f>HYPERLINK("https://docs.wto.org/imrd/directdoc.asp?DDFDocuments/v/G/SPS/NCHN674.DOC")</f>
        <v>https://docs.wto.org/imrd/directdoc.asp?DDFDocuments/v/G/SPS/NCHN674.DOC</v>
      </c>
      <c r="N1542" s="2" t="str">
        <f>HYPERLINK("http://www.epingalert.org/#/details/G/SPS/N/CHN/674")</f>
        <v>http://www.epingalert.org/#/details/G/SPS/N/CHN/674</v>
      </c>
      <c r="O1542" s="2"/>
    </row>
    <row r="1543" spans="1:15" ht="240" customHeight="1" outlineLevel="1" x14ac:dyDescent="0.25">
      <c r="A1543" s="2" t="s">
        <v>380</v>
      </c>
      <c r="B1543" s="2" t="s">
        <v>5836</v>
      </c>
      <c r="C1543" s="2" t="s">
        <v>5837</v>
      </c>
      <c r="D1543" s="2" t="s">
        <v>5838</v>
      </c>
      <c r="E1543" s="3">
        <v>41855</v>
      </c>
      <c r="F1543" s="2" t="s">
        <v>5839</v>
      </c>
      <c r="G1543" s="2"/>
      <c r="H1543" s="2" t="s">
        <v>2573</v>
      </c>
      <c r="I1543" s="2" t="s">
        <v>2426</v>
      </c>
      <c r="J1543" s="3">
        <v>41915</v>
      </c>
      <c r="K1543" s="2" t="str">
        <f>HYPERLINK("https://docs.wto.org/imrd/directdoc.asp?DDFDocuments/t/G/SPS/NCHN673.DOC")</f>
        <v>https://docs.wto.org/imrd/directdoc.asp?DDFDocuments/t/G/SPS/NCHN673.DOC</v>
      </c>
      <c r="L1543" s="2" t="str">
        <f>HYPERLINK("https://docs.wto.org/imrd/directdoc.asp?DDFDocuments/u/G/SPS/NCHN673.DOC")</f>
        <v>https://docs.wto.org/imrd/directdoc.asp?DDFDocuments/u/G/SPS/NCHN673.DOC</v>
      </c>
      <c r="M1543" s="2" t="str">
        <f>HYPERLINK("https://docs.wto.org/imrd/directdoc.asp?DDFDocuments/v/G/SPS/NCHN673.DOC")</f>
        <v>https://docs.wto.org/imrd/directdoc.asp?DDFDocuments/v/G/SPS/NCHN673.DOC</v>
      </c>
      <c r="N1543" s="2" t="str">
        <f>HYPERLINK("http://www.epingalert.org/#/details/G/SPS/N/CHN/673")</f>
        <v>http://www.epingalert.org/#/details/G/SPS/N/CHN/673</v>
      </c>
      <c r="O1543" s="2"/>
    </row>
    <row r="1544" spans="1:15" ht="240" customHeight="1" outlineLevel="1" x14ac:dyDescent="0.25">
      <c r="A1544" s="2" t="s">
        <v>380</v>
      </c>
      <c r="B1544" s="2" t="s">
        <v>5840</v>
      </c>
      <c r="C1544" s="2" t="s">
        <v>5841</v>
      </c>
      <c r="D1544" s="2" t="s">
        <v>5842</v>
      </c>
      <c r="E1544" s="3">
        <v>41855</v>
      </c>
      <c r="F1544" s="2" t="s">
        <v>5843</v>
      </c>
      <c r="G1544" s="2"/>
      <c r="H1544" s="2" t="s">
        <v>2573</v>
      </c>
      <c r="I1544" s="2" t="s">
        <v>2426</v>
      </c>
      <c r="J1544" s="3">
        <v>41915</v>
      </c>
      <c r="K1544" s="2" t="str">
        <f>HYPERLINK("https://docs.wto.org/imrd/directdoc.asp?DDFDocuments/t/G/SPS/NCHN672.DOC")</f>
        <v>https://docs.wto.org/imrd/directdoc.asp?DDFDocuments/t/G/SPS/NCHN672.DOC</v>
      </c>
      <c r="L1544" s="2" t="str">
        <f>HYPERLINK("https://docs.wto.org/imrd/directdoc.asp?DDFDocuments/u/G/SPS/NCHN672.DOC")</f>
        <v>https://docs.wto.org/imrd/directdoc.asp?DDFDocuments/u/G/SPS/NCHN672.DOC</v>
      </c>
      <c r="M1544" s="2" t="str">
        <f>HYPERLINK("https://docs.wto.org/imrd/directdoc.asp?DDFDocuments/v/G/SPS/NCHN672.DOC")</f>
        <v>https://docs.wto.org/imrd/directdoc.asp?DDFDocuments/v/G/SPS/NCHN672.DOC</v>
      </c>
      <c r="N1544" s="2" t="str">
        <f>HYPERLINK("http://www.epingalert.org/#/details/G/SPS/N/CHN/672")</f>
        <v>http://www.epingalert.org/#/details/G/SPS/N/CHN/672</v>
      </c>
      <c r="O1544" s="2"/>
    </row>
    <row r="1545" spans="1:15" ht="240" customHeight="1" outlineLevel="1" x14ac:dyDescent="0.25">
      <c r="A1545" s="2" t="s">
        <v>380</v>
      </c>
      <c r="B1545" s="2" t="s">
        <v>5844</v>
      </c>
      <c r="C1545" s="2" t="s">
        <v>5845</v>
      </c>
      <c r="D1545" s="2" t="s">
        <v>5846</v>
      </c>
      <c r="E1545" s="3">
        <v>41855</v>
      </c>
      <c r="F1545" s="2" t="s">
        <v>5847</v>
      </c>
      <c r="G1545" s="2"/>
      <c r="H1545" s="2" t="s">
        <v>2573</v>
      </c>
      <c r="I1545" s="2" t="s">
        <v>2426</v>
      </c>
      <c r="J1545" s="3">
        <v>41915</v>
      </c>
      <c r="K1545" s="2" t="str">
        <f>HYPERLINK("https://docs.wto.org/imrd/directdoc.asp?DDFDocuments/t/G/SPS/NCHN671.DOC")</f>
        <v>https://docs.wto.org/imrd/directdoc.asp?DDFDocuments/t/G/SPS/NCHN671.DOC</v>
      </c>
      <c r="L1545" s="2" t="str">
        <f>HYPERLINK("https://docs.wto.org/imrd/directdoc.asp?DDFDocuments/u/G/SPS/NCHN671.DOC")</f>
        <v>https://docs.wto.org/imrd/directdoc.asp?DDFDocuments/u/G/SPS/NCHN671.DOC</v>
      </c>
      <c r="M1545" s="2" t="str">
        <f>HYPERLINK("https://docs.wto.org/imrd/directdoc.asp?DDFDocuments/v/G/SPS/NCHN671.DOC")</f>
        <v>https://docs.wto.org/imrd/directdoc.asp?DDFDocuments/v/G/SPS/NCHN671.DOC</v>
      </c>
      <c r="N1545" s="2" t="str">
        <f>HYPERLINK("http://www.epingalert.org/#/details/G/SPS/N/CHN/671")</f>
        <v>http://www.epingalert.org/#/details/G/SPS/N/CHN/671</v>
      </c>
      <c r="O1545" s="2"/>
    </row>
    <row r="1546" spans="1:15" ht="240" customHeight="1" outlineLevel="1" x14ac:dyDescent="0.25">
      <c r="A1546" s="2" t="s">
        <v>380</v>
      </c>
      <c r="B1546" s="2" t="s">
        <v>5848</v>
      </c>
      <c r="C1546" s="2" t="s">
        <v>5849</v>
      </c>
      <c r="D1546" s="2" t="s">
        <v>5850</v>
      </c>
      <c r="E1546" s="3">
        <v>41855</v>
      </c>
      <c r="F1546" s="2" t="s">
        <v>5851</v>
      </c>
      <c r="G1546" s="2"/>
      <c r="H1546" s="2" t="s">
        <v>2573</v>
      </c>
      <c r="I1546" s="2" t="s">
        <v>2426</v>
      </c>
      <c r="J1546" s="3">
        <v>41915</v>
      </c>
      <c r="K1546" s="2" t="str">
        <f>HYPERLINK("https://docs.wto.org/imrd/directdoc.asp?DDFDocuments/t/G/SPS/NCHN670.DOC")</f>
        <v>https://docs.wto.org/imrd/directdoc.asp?DDFDocuments/t/G/SPS/NCHN670.DOC</v>
      </c>
      <c r="L1546" s="2" t="str">
        <f>HYPERLINK("https://docs.wto.org/imrd/directdoc.asp?DDFDocuments/u/G/SPS/NCHN670.DOC")</f>
        <v>https://docs.wto.org/imrd/directdoc.asp?DDFDocuments/u/G/SPS/NCHN670.DOC</v>
      </c>
      <c r="M1546" s="2" t="str">
        <f>HYPERLINK("https://docs.wto.org/imrd/directdoc.asp?DDFDocuments/v/G/SPS/NCHN670.DOC")</f>
        <v>https://docs.wto.org/imrd/directdoc.asp?DDFDocuments/v/G/SPS/NCHN670.DOC</v>
      </c>
      <c r="N1546" s="2" t="str">
        <f>HYPERLINK("http://www.epingalert.org/#/details/G/SPS/N/CHN/670")</f>
        <v>http://www.epingalert.org/#/details/G/SPS/N/CHN/670</v>
      </c>
      <c r="O1546" s="2"/>
    </row>
    <row r="1547" spans="1:15" ht="240" customHeight="1" outlineLevel="1" x14ac:dyDescent="0.25">
      <c r="A1547" s="2" t="s">
        <v>380</v>
      </c>
      <c r="B1547" s="2" t="s">
        <v>5852</v>
      </c>
      <c r="C1547" s="2" t="s">
        <v>5853</v>
      </c>
      <c r="D1547" s="2" t="s">
        <v>5854</v>
      </c>
      <c r="E1547" s="3">
        <v>41855</v>
      </c>
      <c r="F1547" s="2" t="s">
        <v>5855</v>
      </c>
      <c r="G1547" s="2"/>
      <c r="H1547" s="2" t="s">
        <v>2573</v>
      </c>
      <c r="I1547" s="2" t="s">
        <v>2426</v>
      </c>
      <c r="J1547" s="3">
        <v>41915</v>
      </c>
      <c r="K1547" s="2" t="str">
        <f>HYPERLINK("https://docs.wto.org/imrd/directdoc.asp?DDFDocuments/t/G/SPS/NCHN669.DOC")</f>
        <v>https://docs.wto.org/imrd/directdoc.asp?DDFDocuments/t/G/SPS/NCHN669.DOC</v>
      </c>
      <c r="L1547" s="2" t="str">
        <f>HYPERLINK("https://docs.wto.org/imrd/directdoc.asp?DDFDocuments/u/G/SPS/NCHN669.DOC")</f>
        <v>https://docs.wto.org/imrd/directdoc.asp?DDFDocuments/u/G/SPS/NCHN669.DOC</v>
      </c>
      <c r="M1547" s="2" t="str">
        <f>HYPERLINK("https://docs.wto.org/imrd/directdoc.asp?DDFDocuments/v/G/SPS/NCHN669.DOC")</f>
        <v>https://docs.wto.org/imrd/directdoc.asp?DDFDocuments/v/G/SPS/NCHN669.DOC</v>
      </c>
      <c r="N1547" s="2" t="str">
        <f>HYPERLINK("http://www.epingalert.org/#/details/G/SPS/N/CHN/669")</f>
        <v>http://www.epingalert.org/#/details/G/SPS/N/CHN/669</v>
      </c>
      <c r="O1547" s="2"/>
    </row>
    <row r="1548" spans="1:15" ht="240" customHeight="1" outlineLevel="1" x14ac:dyDescent="0.25">
      <c r="A1548" s="2" t="s">
        <v>380</v>
      </c>
      <c r="B1548" s="2" t="s">
        <v>5856</v>
      </c>
      <c r="C1548" s="2" t="s">
        <v>5857</v>
      </c>
      <c r="D1548" s="2" t="s">
        <v>5858</v>
      </c>
      <c r="E1548" s="3">
        <v>41855</v>
      </c>
      <c r="F1548" s="2" t="s">
        <v>5859</v>
      </c>
      <c r="G1548" s="2"/>
      <c r="H1548" s="2" t="s">
        <v>2573</v>
      </c>
      <c r="I1548" s="2" t="s">
        <v>2426</v>
      </c>
      <c r="J1548" s="3">
        <v>41915</v>
      </c>
      <c r="K1548" s="2" t="str">
        <f>HYPERLINK("https://docs.wto.org/imrd/directdoc.asp?DDFDocuments/t/G/SPS/NCHN668.DOC")</f>
        <v>https://docs.wto.org/imrd/directdoc.asp?DDFDocuments/t/G/SPS/NCHN668.DOC</v>
      </c>
      <c r="L1548" s="2" t="str">
        <f>HYPERLINK("https://docs.wto.org/imrd/directdoc.asp?DDFDocuments/u/G/SPS/NCHN668.DOC")</f>
        <v>https://docs.wto.org/imrd/directdoc.asp?DDFDocuments/u/G/SPS/NCHN668.DOC</v>
      </c>
      <c r="M1548" s="2" t="str">
        <f>HYPERLINK("https://docs.wto.org/imrd/directdoc.asp?DDFDocuments/v/G/SPS/NCHN668.DOC")</f>
        <v>https://docs.wto.org/imrd/directdoc.asp?DDFDocuments/v/G/SPS/NCHN668.DOC</v>
      </c>
      <c r="N1548" s="2" t="str">
        <f>HYPERLINK("http://www.epingalert.org/#/details/G/SPS/N/CHN/668")</f>
        <v>http://www.epingalert.org/#/details/G/SPS/N/CHN/668</v>
      </c>
      <c r="O1548" s="2"/>
    </row>
    <row r="1549" spans="1:15" ht="240" customHeight="1" outlineLevel="1" x14ac:dyDescent="0.25">
      <c r="A1549" s="2" t="s">
        <v>380</v>
      </c>
      <c r="B1549" s="2" t="s">
        <v>5860</v>
      </c>
      <c r="C1549" s="2" t="s">
        <v>5861</v>
      </c>
      <c r="D1549" s="2" t="s">
        <v>5862</v>
      </c>
      <c r="E1549" s="3">
        <v>41855</v>
      </c>
      <c r="F1549" s="2" t="s">
        <v>5863</v>
      </c>
      <c r="G1549" s="2"/>
      <c r="H1549" s="2" t="s">
        <v>2573</v>
      </c>
      <c r="I1549" s="2" t="s">
        <v>2426</v>
      </c>
      <c r="J1549" s="3">
        <v>41915</v>
      </c>
      <c r="K1549" s="2" t="str">
        <f>HYPERLINK("https://docs.wto.org/imrd/directdoc.asp?DDFDocuments/t/G/SPS/NCHN667.DOC")</f>
        <v>https://docs.wto.org/imrd/directdoc.asp?DDFDocuments/t/G/SPS/NCHN667.DOC</v>
      </c>
      <c r="L1549" s="2" t="str">
        <f>HYPERLINK("https://docs.wto.org/imrd/directdoc.asp?DDFDocuments/u/G/SPS/NCHN667.DOC")</f>
        <v>https://docs.wto.org/imrd/directdoc.asp?DDFDocuments/u/G/SPS/NCHN667.DOC</v>
      </c>
      <c r="M1549" s="2" t="str">
        <f>HYPERLINK("https://docs.wto.org/imrd/directdoc.asp?DDFDocuments/v/G/SPS/NCHN667.DOC")</f>
        <v>https://docs.wto.org/imrd/directdoc.asp?DDFDocuments/v/G/SPS/NCHN667.DOC</v>
      </c>
      <c r="N1549" s="2" t="str">
        <f>HYPERLINK("http://www.epingalert.org/#/details/G/SPS/N/CHN/667")</f>
        <v>http://www.epingalert.org/#/details/G/SPS/N/CHN/667</v>
      </c>
      <c r="O1549" s="2"/>
    </row>
    <row r="1550" spans="1:15" ht="240" customHeight="1" outlineLevel="1" x14ac:dyDescent="0.25">
      <c r="A1550" s="2" t="s">
        <v>380</v>
      </c>
      <c r="B1550" s="2" t="s">
        <v>5864</v>
      </c>
      <c r="C1550" s="2" t="s">
        <v>5865</v>
      </c>
      <c r="D1550" s="2" t="s">
        <v>5866</v>
      </c>
      <c r="E1550" s="3">
        <v>41855</v>
      </c>
      <c r="F1550" s="2" t="s">
        <v>5867</v>
      </c>
      <c r="G1550" s="2"/>
      <c r="H1550" s="2" t="s">
        <v>2573</v>
      </c>
      <c r="I1550" s="2" t="s">
        <v>2426</v>
      </c>
      <c r="J1550" s="3">
        <v>41915</v>
      </c>
      <c r="K1550" s="2" t="str">
        <f>HYPERLINK("https://docs.wto.org/imrd/directdoc.asp?DDFDocuments/t/G/SPS/NCHN666.DOC")</f>
        <v>https://docs.wto.org/imrd/directdoc.asp?DDFDocuments/t/G/SPS/NCHN666.DOC</v>
      </c>
      <c r="L1550" s="2" t="str">
        <f>HYPERLINK("https://docs.wto.org/imrd/directdoc.asp?DDFDocuments/u/G/SPS/NCHN666.DOC")</f>
        <v>https://docs.wto.org/imrd/directdoc.asp?DDFDocuments/u/G/SPS/NCHN666.DOC</v>
      </c>
      <c r="M1550" s="2" t="str">
        <f>HYPERLINK("https://docs.wto.org/imrd/directdoc.asp?DDFDocuments/v/G/SPS/NCHN666.DOC")</f>
        <v>https://docs.wto.org/imrd/directdoc.asp?DDFDocuments/v/G/SPS/NCHN666.DOC</v>
      </c>
      <c r="N1550" s="2" t="str">
        <f>HYPERLINK("http://www.epingalert.org/#/details/G/SPS/N/CHN/666")</f>
        <v>http://www.epingalert.org/#/details/G/SPS/N/CHN/666</v>
      </c>
      <c r="O1550" s="2"/>
    </row>
    <row r="1551" spans="1:15" ht="240" customHeight="1" outlineLevel="1" x14ac:dyDescent="0.25">
      <c r="A1551" s="2" t="s">
        <v>42</v>
      </c>
      <c r="B1551" s="2" t="s">
        <v>5868</v>
      </c>
      <c r="C1551" s="2" t="s">
        <v>5869</v>
      </c>
      <c r="D1551" s="2" t="s">
        <v>5870</v>
      </c>
      <c r="E1551" s="3">
        <v>41855</v>
      </c>
      <c r="F1551" s="2" t="s">
        <v>5871</v>
      </c>
      <c r="G1551" s="2"/>
      <c r="H1551" s="2" t="s">
        <v>2573</v>
      </c>
      <c r="I1551" s="2" t="s">
        <v>2453</v>
      </c>
      <c r="J1551" s="3">
        <v>41879</v>
      </c>
      <c r="K1551" s="2" t="str">
        <f>HYPERLINK("https://docs.wto.org/imrd/directdoc.asp?DDFDocuments/t/G/SPS/NBRA963.DOC")</f>
        <v>https://docs.wto.org/imrd/directdoc.asp?DDFDocuments/t/G/SPS/NBRA963.DOC</v>
      </c>
      <c r="L1551" s="2" t="str">
        <f>HYPERLINK("https://docs.wto.org/imrd/directdoc.asp?DDFDocuments/u/G/SPS/NBRA963.DOC")</f>
        <v>https://docs.wto.org/imrd/directdoc.asp?DDFDocuments/u/G/SPS/NBRA963.DOC</v>
      </c>
      <c r="M1551" s="2" t="str">
        <f>HYPERLINK("https://docs.wto.org/imrd/directdoc.asp?DDFDocuments/v/G/SPS/NBRA963.DOC")</f>
        <v>https://docs.wto.org/imrd/directdoc.asp?DDFDocuments/v/G/SPS/NBRA963.DOC</v>
      </c>
      <c r="N1551" s="2" t="str">
        <f>HYPERLINK("http://www.epingalert.org/#/details/G/SPS/N/BRA/963")</f>
        <v>http://www.epingalert.org/#/details/G/SPS/N/BRA/963</v>
      </c>
      <c r="O1551" s="2"/>
    </row>
    <row r="1552" spans="1:15" ht="240" customHeight="1" outlineLevel="1" x14ac:dyDescent="0.25">
      <c r="A1552" s="2" t="s">
        <v>42</v>
      </c>
      <c r="B1552" s="2" t="s">
        <v>5872</v>
      </c>
      <c r="C1552" s="2" t="s">
        <v>5873</v>
      </c>
      <c r="D1552" s="2" t="s">
        <v>5571</v>
      </c>
      <c r="E1552" s="3">
        <v>41855</v>
      </c>
      <c r="F1552" s="2" t="s">
        <v>5571</v>
      </c>
      <c r="G1552" s="2"/>
      <c r="H1552" s="2" t="s">
        <v>2573</v>
      </c>
      <c r="I1552" s="2" t="s">
        <v>2453</v>
      </c>
      <c r="J1552" s="3">
        <v>41879</v>
      </c>
      <c r="K1552" s="2" t="str">
        <f>HYPERLINK("https://docs.wto.org/imrd/directdoc.asp?DDFDocuments/t/G/SPS/NBRA967.DOC")</f>
        <v>https://docs.wto.org/imrd/directdoc.asp?DDFDocuments/t/G/SPS/NBRA967.DOC</v>
      </c>
      <c r="L1552" s="2" t="str">
        <f>HYPERLINK("https://docs.wto.org/imrd/directdoc.asp?DDFDocuments/u/G/SPS/NBRA967.DOC")</f>
        <v>https://docs.wto.org/imrd/directdoc.asp?DDFDocuments/u/G/SPS/NBRA967.DOC</v>
      </c>
      <c r="M1552" s="2" t="str">
        <f>HYPERLINK("https://docs.wto.org/imrd/directdoc.asp?DDFDocuments/v/G/SPS/NBRA967.DOC")</f>
        <v>https://docs.wto.org/imrd/directdoc.asp?DDFDocuments/v/G/SPS/NBRA967.DOC</v>
      </c>
      <c r="N1552" s="2" t="str">
        <f>HYPERLINK("http://www.epingalert.org/#/details/G/SPS/N/BRA/967")</f>
        <v>http://www.epingalert.org/#/details/G/SPS/N/BRA/967</v>
      </c>
      <c r="O1552" s="2"/>
    </row>
    <row r="1553" spans="1:15" ht="240" customHeight="1" outlineLevel="1" x14ac:dyDescent="0.25">
      <c r="A1553" s="2" t="s">
        <v>42</v>
      </c>
      <c r="B1553" s="2" t="s">
        <v>5874</v>
      </c>
      <c r="C1553" s="2" t="s">
        <v>5875</v>
      </c>
      <c r="D1553" s="2" t="s">
        <v>5876</v>
      </c>
      <c r="E1553" s="3">
        <v>41855</v>
      </c>
      <c r="F1553" s="2" t="s">
        <v>5877</v>
      </c>
      <c r="G1553" s="2"/>
      <c r="H1553" s="2" t="s">
        <v>2573</v>
      </c>
      <c r="I1553" s="2" t="s">
        <v>2453</v>
      </c>
      <c r="J1553" s="3">
        <v>41879</v>
      </c>
      <c r="K1553" s="2" t="str">
        <f>HYPERLINK("https://docs.wto.org/imrd/directdoc.asp?DDFDocuments/t/G/SPS/NBRA965.DOC")</f>
        <v>https://docs.wto.org/imrd/directdoc.asp?DDFDocuments/t/G/SPS/NBRA965.DOC</v>
      </c>
      <c r="L1553" s="2" t="str">
        <f>HYPERLINK("https://docs.wto.org/imrd/directdoc.asp?DDFDocuments/u/G/SPS/NBRA965.DOC")</f>
        <v>https://docs.wto.org/imrd/directdoc.asp?DDFDocuments/u/G/SPS/NBRA965.DOC</v>
      </c>
      <c r="M1553" s="2" t="str">
        <f>HYPERLINK("https://docs.wto.org/imrd/directdoc.asp?DDFDocuments/v/G/SPS/NBRA965.DOC")</f>
        <v>https://docs.wto.org/imrd/directdoc.asp?DDFDocuments/v/G/SPS/NBRA965.DOC</v>
      </c>
      <c r="N1553" s="2" t="str">
        <f>HYPERLINK("http://www.epingalert.org/#/details/G/SPS/N/BRA/965")</f>
        <v>http://www.epingalert.org/#/details/G/SPS/N/BRA/965</v>
      </c>
      <c r="O1553" s="2"/>
    </row>
    <row r="1554" spans="1:15" ht="240" customHeight="1" outlineLevel="1" x14ac:dyDescent="0.25">
      <c r="A1554" s="2" t="s">
        <v>42</v>
      </c>
      <c r="B1554" s="2" t="s">
        <v>5878</v>
      </c>
      <c r="C1554" s="2" t="s">
        <v>5879</v>
      </c>
      <c r="D1554" s="2" t="s">
        <v>5880</v>
      </c>
      <c r="E1554" s="3">
        <v>41855</v>
      </c>
      <c r="F1554" s="2" t="s">
        <v>5881</v>
      </c>
      <c r="G1554" s="2"/>
      <c r="H1554" s="2" t="s">
        <v>2573</v>
      </c>
      <c r="I1554" s="2" t="s">
        <v>2453</v>
      </c>
      <c r="J1554" s="3">
        <v>41879</v>
      </c>
      <c r="K1554" s="2" t="str">
        <f>HYPERLINK("https://docs.wto.org/imrd/directdoc.asp?DDFDocuments/t/G/SPS/NBRA964.DOC")</f>
        <v>https://docs.wto.org/imrd/directdoc.asp?DDFDocuments/t/G/SPS/NBRA964.DOC</v>
      </c>
      <c r="L1554" s="2" t="str">
        <f>HYPERLINK("https://docs.wto.org/imrd/directdoc.asp?DDFDocuments/u/G/SPS/NBRA964.DOC")</f>
        <v>https://docs.wto.org/imrd/directdoc.asp?DDFDocuments/u/G/SPS/NBRA964.DOC</v>
      </c>
      <c r="M1554" s="2" t="str">
        <f>HYPERLINK("https://docs.wto.org/imrd/directdoc.asp?DDFDocuments/v/G/SPS/NBRA964.DOC")</f>
        <v>https://docs.wto.org/imrd/directdoc.asp?DDFDocuments/v/G/SPS/NBRA964.DOC</v>
      </c>
      <c r="N1554" s="2" t="str">
        <f>HYPERLINK("http://www.epingalert.org/#/details/G/SPS/N/BRA/964")</f>
        <v>http://www.epingalert.org/#/details/G/SPS/N/BRA/964</v>
      </c>
      <c r="O1554" s="2"/>
    </row>
    <row r="1555" spans="1:15" ht="240" customHeight="1" outlineLevel="1" x14ac:dyDescent="0.25">
      <c r="A1555" s="2" t="s">
        <v>380</v>
      </c>
      <c r="B1555" s="2" t="s">
        <v>5882</v>
      </c>
      <c r="C1555" s="2" t="s">
        <v>5883</v>
      </c>
      <c r="D1555" s="2" t="s">
        <v>5884</v>
      </c>
      <c r="E1555" s="3">
        <v>41852</v>
      </c>
      <c r="F1555" s="2" t="s">
        <v>5885</v>
      </c>
      <c r="G1555" s="2"/>
      <c r="H1555" s="2" t="s">
        <v>2573</v>
      </c>
      <c r="I1555" s="2" t="s">
        <v>2426</v>
      </c>
      <c r="J1555" s="3">
        <v>41912</v>
      </c>
      <c r="K1555" s="2" t="str">
        <f>HYPERLINK("https://docs.wto.org/imrd/directdoc.asp?DDFDocuments/t/G/SPS/NCHN659.DOC")</f>
        <v>https://docs.wto.org/imrd/directdoc.asp?DDFDocuments/t/G/SPS/NCHN659.DOC</v>
      </c>
      <c r="L1555" s="2" t="str">
        <f>HYPERLINK("https://docs.wto.org/imrd/directdoc.asp?DDFDocuments/u/G/SPS/NCHN659.DOC")</f>
        <v>https://docs.wto.org/imrd/directdoc.asp?DDFDocuments/u/G/SPS/NCHN659.DOC</v>
      </c>
      <c r="M1555" s="2" t="str">
        <f>HYPERLINK("https://docs.wto.org/imrd/directdoc.asp?DDFDocuments/v/G/SPS/NCHN659.DOC")</f>
        <v>https://docs.wto.org/imrd/directdoc.asp?DDFDocuments/v/G/SPS/NCHN659.DOC</v>
      </c>
      <c r="N1555" s="2" t="str">
        <f>HYPERLINK("http://www.epingalert.org/#/details/G/SPS/N/CHN/659")</f>
        <v>http://www.epingalert.org/#/details/G/SPS/N/CHN/659</v>
      </c>
      <c r="O1555" s="2"/>
    </row>
    <row r="1556" spans="1:15" ht="240" customHeight="1" outlineLevel="1" x14ac:dyDescent="0.25">
      <c r="A1556" s="2" t="s">
        <v>380</v>
      </c>
      <c r="B1556" s="2" t="s">
        <v>5886</v>
      </c>
      <c r="C1556" s="2" t="s">
        <v>5887</v>
      </c>
      <c r="D1556" s="2" t="s">
        <v>5888</v>
      </c>
      <c r="E1556" s="3">
        <v>41852</v>
      </c>
      <c r="F1556" s="2" t="s">
        <v>5889</v>
      </c>
      <c r="G1556" s="2"/>
      <c r="H1556" s="2" t="s">
        <v>2573</v>
      </c>
      <c r="I1556" s="2" t="s">
        <v>2426</v>
      </c>
      <c r="J1556" s="3">
        <v>41912</v>
      </c>
      <c r="K1556" s="2" t="str">
        <f>HYPERLINK("https://docs.wto.org/imrd/directdoc.asp?DDFDocuments/t/G/SPS/NCHN658.DOC")</f>
        <v>https://docs.wto.org/imrd/directdoc.asp?DDFDocuments/t/G/SPS/NCHN658.DOC</v>
      </c>
      <c r="L1556" s="2" t="str">
        <f>HYPERLINK("https://docs.wto.org/imrd/directdoc.asp?DDFDocuments/u/G/SPS/NCHN658.DOC")</f>
        <v>https://docs.wto.org/imrd/directdoc.asp?DDFDocuments/u/G/SPS/NCHN658.DOC</v>
      </c>
      <c r="M1556" s="2" t="str">
        <f>HYPERLINK("https://docs.wto.org/imrd/directdoc.asp?DDFDocuments/v/G/SPS/NCHN658.DOC")</f>
        <v>https://docs.wto.org/imrd/directdoc.asp?DDFDocuments/v/G/SPS/NCHN658.DOC</v>
      </c>
      <c r="N1556" s="2" t="str">
        <f>HYPERLINK("http://www.epingalert.org/#/details/G/SPS/N/CHN/658")</f>
        <v>http://www.epingalert.org/#/details/G/SPS/N/CHN/658</v>
      </c>
      <c r="O1556" s="2"/>
    </row>
    <row r="1557" spans="1:15" ht="240" customHeight="1" outlineLevel="1" x14ac:dyDescent="0.25">
      <c r="A1557" s="2" t="s">
        <v>380</v>
      </c>
      <c r="B1557" s="2" t="s">
        <v>5890</v>
      </c>
      <c r="C1557" s="2" t="s">
        <v>5891</v>
      </c>
      <c r="D1557" s="2" t="s">
        <v>5892</v>
      </c>
      <c r="E1557" s="3">
        <v>41852</v>
      </c>
      <c r="F1557" s="2" t="s">
        <v>5893</v>
      </c>
      <c r="G1557" s="2"/>
      <c r="H1557" s="2" t="s">
        <v>2573</v>
      </c>
      <c r="I1557" s="2" t="s">
        <v>2426</v>
      </c>
      <c r="J1557" s="3">
        <v>41912</v>
      </c>
      <c r="K1557" s="2" t="str">
        <f>HYPERLINK("https://docs.wto.org/imrd/directdoc.asp?DDFDocuments/t/G/SPS/NCHN657.DOC")</f>
        <v>https://docs.wto.org/imrd/directdoc.asp?DDFDocuments/t/G/SPS/NCHN657.DOC</v>
      </c>
      <c r="L1557" s="2" t="str">
        <f>HYPERLINK("https://docs.wto.org/imrd/directdoc.asp?DDFDocuments/u/G/SPS/NCHN657.DOC")</f>
        <v>https://docs.wto.org/imrd/directdoc.asp?DDFDocuments/u/G/SPS/NCHN657.DOC</v>
      </c>
      <c r="M1557" s="2" t="str">
        <f>HYPERLINK("https://docs.wto.org/imrd/directdoc.asp?DDFDocuments/v/G/SPS/NCHN657.DOC")</f>
        <v>https://docs.wto.org/imrd/directdoc.asp?DDFDocuments/v/G/SPS/NCHN657.DOC</v>
      </c>
      <c r="N1557" s="2" t="str">
        <f>HYPERLINK("http://www.epingalert.org/#/details/G/SPS/N/CHN/657")</f>
        <v>http://www.epingalert.org/#/details/G/SPS/N/CHN/657</v>
      </c>
      <c r="O1557" s="2"/>
    </row>
    <row r="1558" spans="1:15" ht="240" customHeight="1" outlineLevel="1" x14ac:dyDescent="0.25">
      <c r="A1558" s="2" t="s">
        <v>380</v>
      </c>
      <c r="B1558" s="2" t="s">
        <v>5894</v>
      </c>
      <c r="C1558" s="2" t="s">
        <v>5895</v>
      </c>
      <c r="D1558" s="2" t="s">
        <v>5896</v>
      </c>
      <c r="E1558" s="3">
        <v>41852</v>
      </c>
      <c r="F1558" s="2" t="s">
        <v>5897</v>
      </c>
      <c r="G1558" s="2" t="s">
        <v>2661</v>
      </c>
      <c r="H1558" s="2" t="s">
        <v>2573</v>
      </c>
      <c r="I1558" s="2" t="s">
        <v>2461</v>
      </c>
      <c r="J1558" s="3">
        <v>41912</v>
      </c>
      <c r="K1558" s="2" t="str">
        <f>HYPERLINK("https://docs.wto.org/imrd/directdoc.asp?DDFDocuments/t/G/SPS/NCHN656.DOC")</f>
        <v>https://docs.wto.org/imrd/directdoc.asp?DDFDocuments/t/G/SPS/NCHN656.DOC</v>
      </c>
      <c r="L1558" s="2" t="str">
        <f>HYPERLINK("https://docs.wto.org/imrd/directdoc.asp?DDFDocuments/u/G/SPS/NCHN656.DOC")</f>
        <v>https://docs.wto.org/imrd/directdoc.asp?DDFDocuments/u/G/SPS/NCHN656.DOC</v>
      </c>
      <c r="M1558" s="2" t="str">
        <f>HYPERLINK("https://docs.wto.org/imrd/directdoc.asp?DDFDocuments/v/G/SPS/NCHN656.DOC")</f>
        <v>https://docs.wto.org/imrd/directdoc.asp?DDFDocuments/v/G/SPS/NCHN656.DOC</v>
      </c>
      <c r="N1558" s="2" t="str">
        <f>HYPERLINK("http://www.epingalert.org/#/details/G/SPS/N/CHN/656")</f>
        <v>http://www.epingalert.org/#/details/G/SPS/N/CHN/656</v>
      </c>
      <c r="O1558" s="2"/>
    </row>
    <row r="1559" spans="1:15" ht="240" customHeight="1" outlineLevel="1" x14ac:dyDescent="0.25">
      <c r="A1559" s="2" t="s">
        <v>380</v>
      </c>
      <c r="B1559" s="2" t="s">
        <v>5898</v>
      </c>
      <c r="C1559" s="2" t="s">
        <v>5899</v>
      </c>
      <c r="D1559" s="2" t="s">
        <v>5900</v>
      </c>
      <c r="E1559" s="3">
        <v>41852</v>
      </c>
      <c r="F1559" s="2" t="s">
        <v>583</v>
      </c>
      <c r="G1559" s="2"/>
      <c r="H1559" s="2" t="s">
        <v>2573</v>
      </c>
      <c r="I1559" s="2" t="s">
        <v>2426</v>
      </c>
      <c r="J1559" s="3">
        <v>41912</v>
      </c>
      <c r="K1559" s="2" t="str">
        <f>HYPERLINK("https://docs.wto.org/imrd/directdoc.asp?DDFDocuments/t/G/SPS/NCHN655.DOC")</f>
        <v>https://docs.wto.org/imrd/directdoc.asp?DDFDocuments/t/G/SPS/NCHN655.DOC</v>
      </c>
      <c r="L1559" s="2" t="str">
        <f>HYPERLINK("https://docs.wto.org/imrd/directdoc.asp?DDFDocuments/u/G/SPS/NCHN655.DOC")</f>
        <v>https://docs.wto.org/imrd/directdoc.asp?DDFDocuments/u/G/SPS/NCHN655.DOC</v>
      </c>
      <c r="M1559" s="2" t="str">
        <f>HYPERLINK("https://docs.wto.org/imrd/directdoc.asp?DDFDocuments/v/G/SPS/NCHN655.DOC")</f>
        <v>https://docs.wto.org/imrd/directdoc.asp?DDFDocuments/v/G/SPS/NCHN655.DOC</v>
      </c>
      <c r="N1559" s="2" t="str">
        <f>HYPERLINK("http://www.epingalert.org/#/details/G/SPS/N/CHN/655")</f>
        <v>http://www.epingalert.org/#/details/G/SPS/N/CHN/655</v>
      </c>
      <c r="O1559" s="2"/>
    </row>
    <row r="1560" spans="1:15" ht="240" customHeight="1" outlineLevel="1" x14ac:dyDescent="0.25">
      <c r="A1560" s="2" t="s">
        <v>380</v>
      </c>
      <c r="B1560" s="2" t="s">
        <v>5901</v>
      </c>
      <c r="C1560" s="2" t="s">
        <v>5902</v>
      </c>
      <c r="D1560" s="2" t="s">
        <v>5903</v>
      </c>
      <c r="E1560" s="3">
        <v>41852</v>
      </c>
      <c r="F1560" s="2" t="s">
        <v>5904</v>
      </c>
      <c r="G1560" s="2"/>
      <c r="H1560" s="2" t="s">
        <v>2573</v>
      </c>
      <c r="I1560" s="2" t="s">
        <v>2426</v>
      </c>
      <c r="J1560" s="3">
        <v>41912</v>
      </c>
      <c r="K1560" s="2" t="str">
        <f>HYPERLINK("https://docs.wto.org/imrd/directdoc.asp?DDFDocuments/t/G/SPS/NCHN654.DOC")</f>
        <v>https://docs.wto.org/imrd/directdoc.asp?DDFDocuments/t/G/SPS/NCHN654.DOC</v>
      </c>
      <c r="L1560" s="2" t="str">
        <f>HYPERLINK("https://docs.wto.org/imrd/directdoc.asp?DDFDocuments/u/G/SPS/NCHN654.DOC")</f>
        <v>https://docs.wto.org/imrd/directdoc.asp?DDFDocuments/u/G/SPS/NCHN654.DOC</v>
      </c>
      <c r="M1560" s="2" t="str">
        <f>HYPERLINK("https://docs.wto.org/imrd/directdoc.asp?DDFDocuments/v/G/SPS/NCHN654.DOC")</f>
        <v>https://docs.wto.org/imrd/directdoc.asp?DDFDocuments/v/G/SPS/NCHN654.DOC</v>
      </c>
      <c r="N1560" s="2" t="str">
        <f>HYPERLINK("http://www.epingalert.org/#/details/G/SPS/N/CHN/654")</f>
        <v>http://www.epingalert.org/#/details/G/SPS/N/CHN/654</v>
      </c>
      <c r="O1560" s="2"/>
    </row>
    <row r="1561" spans="1:15" ht="240" customHeight="1" outlineLevel="1" x14ac:dyDescent="0.25">
      <c r="A1561" s="2" t="s">
        <v>646</v>
      </c>
      <c r="B1561" s="2" t="s">
        <v>5905</v>
      </c>
      <c r="C1561" s="2" t="s">
        <v>5906</v>
      </c>
      <c r="D1561" s="2" t="s">
        <v>5907</v>
      </c>
      <c r="E1561" s="3">
        <v>41851</v>
      </c>
      <c r="F1561" s="2" t="s">
        <v>4410</v>
      </c>
      <c r="G1561" s="2" t="s">
        <v>5908</v>
      </c>
      <c r="H1561" s="2" t="s">
        <v>2573</v>
      </c>
      <c r="I1561" s="2" t="s">
        <v>2903</v>
      </c>
      <c r="J1561" s="3">
        <v>41911</v>
      </c>
      <c r="K1561" s="2" t="str">
        <f>HYPERLINK("https://docs.wto.org/imrd/directdoc.asp?DDFDocuments/t/G/SPS/NVNM59.DOC")</f>
        <v>https://docs.wto.org/imrd/directdoc.asp?DDFDocuments/t/G/SPS/NVNM59.DOC</v>
      </c>
      <c r="L1561" s="2" t="str">
        <f>HYPERLINK("https://docs.wto.org/imrd/directdoc.asp?DDFDocuments/u/G/SPS/NVNM59.DOC")</f>
        <v>https://docs.wto.org/imrd/directdoc.asp?DDFDocuments/u/G/SPS/NVNM59.DOC</v>
      </c>
      <c r="M1561" s="2" t="str">
        <f>HYPERLINK("https://docs.wto.org/imrd/directdoc.asp?DDFDocuments/v/G/SPS/NVNM59.DOC")</f>
        <v>https://docs.wto.org/imrd/directdoc.asp?DDFDocuments/v/G/SPS/NVNM59.DOC</v>
      </c>
      <c r="N1561" s="2" t="str">
        <f>HYPERLINK("http://www.epingalert.org/#/details/G/SPS/N/VNM/59")</f>
        <v>http://www.epingalert.org/#/details/G/SPS/N/VNM/59</v>
      </c>
      <c r="O1561" s="2"/>
    </row>
    <row r="1562" spans="1:15" ht="240" customHeight="1" outlineLevel="1" x14ac:dyDescent="0.25">
      <c r="A1562" s="2" t="s">
        <v>18</v>
      </c>
      <c r="B1562" s="2" t="s">
        <v>8286</v>
      </c>
      <c r="C1562" s="2" t="s">
        <v>8287</v>
      </c>
      <c r="D1562" s="2" t="s">
        <v>8288</v>
      </c>
      <c r="E1562" s="3">
        <v>41850</v>
      </c>
      <c r="F1562" s="2" t="s">
        <v>8289</v>
      </c>
      <c r="G1562" s="2" t="s">
        <v>7148</v>
      </c>
      <c r="H1562" s="2" t="s">
        <v>2467</v>
      </c>
      <c r="I1562" s="2" t="s">
        <v>7149</v>
      </c>
      <c r="J1562" s="3">
        <v>41911</v>
      </c>
      <c r="K1562" s="2" t="str">
        <f>HYPERLINK("https://docs.wto.org/imrd/directdoc.asp?DDFDocuments/t/G/SPS/NUSA2686.DOC")</f>
        <v>https://docs.wto.org/imrd/directdoc.asp?DDFDocuments/t/G/SPS/NUSA2686.DOC</v>
      </c>
      <c r="L1562" s="2" t="str">
        <f>HYPERLINK("https://docs.wto.org/imrd/directdoc.asp?DDFDocuments/u/G/SPS/NUSA2686.DOC")</f>
        <v>https://docs.wto.org/imrd/directdoc.asp?DDFDocuments/u/G/SPS/NUSA2686.DOC</v>
      </c>
      <c r="M1562" s="2" t="str">
        <f>HYPERLINK("https://docs.wto.org/imrd/directdoc.asp?DDFDocuments/v/G/SPS/NUSA2686.DOC")</f>
        <v>https://docs.wto.org/imrd/directdoc.asp?DDFDocuments/v/G/SPS/NUSA2686.DOC</v>
      </c>
      <c r="N1562" s="2" t="str">
        <f>HYPERLINK("http://www.epingalert.org/#/details/G/SPS/N/USA/2686")</f>
        <v>http://www.epingalert.org/#/details/G/SPS/N/USA/2686</v>
      </c>
      <c r="O1562" s="2"/>
    </row>
    <row r="1563" spans="1:15" ht="240" customHeight="1" outlineLevel="1" x14ac:dyDescent="0.25">
      <c r="A1563" s="2" t="s">
        <v>25</v>
      </c>
      <c r="B1563" s="2" t="s">
        <v>5909</v>
      </c>
      <c r="C1563" s="2" t="s">
        <v>2604</v>
      </c>
      <c r="D1563" s="2" t="s">
        <v>5910</v>
      </c>
      <c r="E1563" s="3">
        <v>41850</v>
      </c>
      <c r="F1563" s="2" t="s">
        <v>2606</v>
      </c>
      <c r="G1563" s="2"/>
      <c r="H1563" s="2" t="s">
        <v>2573</v>
      </c>
      <c r="I1563" s="2" t="s">
        <v>2426</v>
      </c>
      <c r="J1563" s="3">
        <v>41910</v>
      </c>
      <c r="K1563" s="2" t="str">
        <f>HYPERLINK("https://docs.wto.org/imrd/directdoc.asp?DDFDocuments/t/G/SPS/NKOR482.DOC")</f>
        <v>https://docs.wto.org/imrd/directdoc.asp?DDFDocuments/t/G/SPS/NKOR482.DOC</v>
      </c>
      <c r="L1563" s="2" t="str">
        <f>HYPERLINK("https://docs.wto.org/imrd/directdoc.asp?DDFDocuments/u/G/SPS/NKOR482.DOC")</f>
        <v>https://docs.wto.org/imrd/directdoc.asp?DDFDocuments/u/G/SPS/NKOR482.DOC</v>
      </c>
      <c r="M1563" s="2" t="str">
        <f>HYPERLINK("https://docs.wto.org/imrd/directdoc.asp?DDFDocuments/v/G/SPS/NKOR482.DOC")</f>
        <v>https://docs.wto.org/imrd/directdoc.asp?DDFDocuments/v/G/SPS/NKOR482.DOC</v>
      </c>
      <c r="N1563" s="2" t="str">
        <f>HYPERLINK("http://www.epingalert.org/#/details/G/SPS/N/KOR/482")</f>
        <v>http://www.epingalert.org/#/details/G/SPS/N/KOR/482</v>
      </c>
      <c r="O1563" s="2"/>
    </row>
    <row r="1564" spans="1:15" ht="240" customHeight="1" outlineLevel="1" x14ac:dyDescent="0.25">
      <c r="A1564" s="2" t="s">
        <v>25</v>
      </c>
      <c r="B1564" s="2" t="s">
        <v>5911</v>
      </c>
      <c r="C1564" s="2" t="s">
        <v>3549</v>
      </c>
      <c r="D1564" s="2" t="s">
        <v>5912</v>
      </c>
      <c r="E1564" s="3">
        <v>41850</v>
      </c>
      <c r="F1564" s="2" t="s">
        <v>3551</v>
      </c>
      <c r="G1564" s="2"/>
      <c r="H1564" s="2" t="s">
        <v>2573</v>
      </c>
      <c r="I1564" s="2" t="s">
        <v>5913</v>
      </c>
      <c r="J1564" s="3">
        <v>41910</v>
      </c>
      <c r="K1564" s="2" t="str">
        <f>HYPERLINK("https://docs.wto.org/imrd/directdoc.asp?DDFDocuments/t/G/SPS/NKOR481.DOC")</f>
        <v>https://docs.wto.org/imrd/directdoc.asp?DDFDocuments/t/G/SPS/NKOR481.DOC</v>
      </c>
      <c r="L1564" s="2" t="str">
        <f>HYPERLINK("https://docs.wto.org/imrd/directdoc.asp?DDFDocuments/u/G/SPS/NKOR481.DOC")</f>
        <v>https://docs.wto.org/imrd/directdoc.asp?DDFDocuments/u/G/SPS/NKOR481.DOC</v>
      </c>
      <c r="M1564" s="2" t="str">
        <f>HYPERLINK("https://docs.wto.org/imrd/directdoc.asp?DDFDocuments/v/G/SPS/NKOR481.DOC")</f>
        <v>https://docs.wto.org/imrd/directdoc.asp?DDFDocuments/v/G/SPS/NKOR481.DOC</v>
      </c>
      <c r="N1564" s="2" t="str">
        <f>HYPERLINK("http://www.epingalert.org/#/details/G/SPS/N/KOR/481")</f>
        <v>http://www.epingalert.org/#/details/G/SPS/N/KOR/481</v>
      </c>
      <c r="O1564" s="2"/>
    </row>
    <row r="1565" spans="1:15" ht="240" customHeight="1" outlineLevel="1" x14ac:dyDescent="0.25">
      <c r="A1565" s="2" t="s">
        <v>1908</v>
      </c>
      <c r="B1565" s="2" t="s">
        <v>8293</v>
      </c>
      <c r="C1565" s="2" t="s">
        <v>8294</v>
      </c>
      <c r="D1565" s="2" t="s">
        <v>8295</v>
      </c>
      <c r="E1565" s="3">
        <v>41849</v>
      </c>
      <c r="F1565" s="2" t="s">
        <v>8296</v>
      </c>
      <c r="G1565" s="2" t="s">
        <v>2292</v>
      </c>
      <c r="H1565" s="2" t="s">
        <v>2573</v>
      </c>
      <c r="I1565" s="2" t="s">
        <v>2426</v>
      </c>
      <c r="J1565" s="3">
        <v>41920</v>
      </c>
      <c r="K1565" s="2" t="str">
        <f>HYPERLINK("https://docs.wto.org/imrd/directdoc.asp?DDFDocuments/t/G/SPS/NCAN842.DOC")</f>
        <v>https://docs.wto.org/imrd/directdoc.asp?DDFDocuments/t/G/SPS/NCAN842.DOC</v>
      </c>
      <c r="L1565" s="2" t="str">
        <f>HYPERLINK("https://docs.wto.org/imrd/directdoc.asp?DDFDocuments/u/G/SPS/NCAN842.DOC")</f>
        <v>https://docs.wto.org/imrd/directdoc.asp?DDFDocuments/u/G/SPS/NCAN842.DOC</v>
      </c>
      <c r="M1565" s="2" t="str">
        <f>HYPERLINK("https://docs.wto.org/imrd/directdoc.asp?DDFDocuments/v/G/SPS/NCAN842.DOC")</f>
        <v>https://docs.wto.org/imrd/directdoc.asp?DDFDocuments/v/G/SPS/NCAN842.DOC</v>
      </c>
      <c r="N1565" s="2" t="str">
        <f>HYPERLINK("http://www.epingalert.org/#/details/G/SPS/N/CAN/842")</f>
        <v>http://www.epingalert.org/#/details/G/SPS/N/CAN/842</v>
      </c>
      <c r="O1565" s="2"/>
    </row>
    <row r="1566" spans="1:15" ht="240" customHeight="1" outlineLevel="1" x14ac:dyDescent="0.25">
      <c r="A1566" s="2" t="s">
        <v>1908</v>
      </c>
      <c r="B1566" s="2" t="s">
        <v>8297</v>
      </c>
      <c r="C1566" s="2" t="s">
        <v>8298</v>
      </c>
      <c r="D1566" s="2" t="s">
        <v>8299</v>
      </c>
      <c r="E1566" s="3">
        <v>41849</v>
      </c>
      <c r="F1566" s="2" t="s">
        <v>8291</v>
      </c>
      <c r="G1566" s="2" t="s">
        <v>8292</v>
      </c>
      <c r="H1566" s="2" t="s">
        <v>2573</v>
      </c>
      <c r="I1566" s="2" t="s">
        <v>2426</v>
      </c>
      <c r="J1566" s="3">
        <v>41919</v>
      </c>
      <c r="K1566" s="2" t="str">
        <f>HYPERLINK("https://docs.wto.org/imrd/directdoc.asp?DDFDocuments/t/G/SPS/NCAN841.DOC")</f>
        <v>https://docs.wto.org/imrd/directdoc.asp?DDFDocuments/t/G/SPS/NCAN841.DOC</v>
      </c>
      <c r="L1566" s="2" t="str">
        <f>HYPERLINK("https://docs.wto.org/imrd/directdoc.asp?DDFDocuments/u/G/SPS/NCAN841.DOC")</f>
        <v>https://docs.wto.org/imrd/directdoc.asp?DDFDocuments/u/G/SPS/NCAN841.DOC</v>
      </c>
      <c r="M1566" s="2" t="str">
        <f>HYPERLINK("https://docs.wto.org/imrd/directdoc.asp?DDFDocuments/v/G/SPS/NCAN841.DOC")</f>
        <v>https://docs.wto.org/imrd/directdoc.asp?DDFDocuments/v/G/SPS/NCAN841.DOC</v>
      </c>
      <c r="N1566" s="2" t="str">
        <f>HYPERLINK("http://www.epingalert.org/#/details/G/SPS/N/CAN/841")</f>
        <v>http://www.epingalert.org/#/details/G/SPS/N/CAN/841</v>
      </c>
      <c r="O1566" s="2"/>
    </row>
    <row r="1567" spans="1:15" ht="240" customHeight="1" outlineLevel="1" x14ac:dyDescent="0.25">
      <c r="A1567" s="2" t="s">
        <v>646</v>
      </c>
      <c r="B1567" s="2" t="s">
        <v>5914</v>
      </c>
      <c r="C1567" s="2" t="s">
        <v>5915</v>
      </c>
      <c r="D1567" s="2" t="s">
        <v>5916</v>
      </c>
      <c r="E1567" s="3">
        <v>41849</v>
      </c>
      <c r="F1567" s="2" t="s">
        <v>5648</v>
      </c>
      <c r="G1567" s="2"/>
      <c r="H1567" s="2" t="s">
        <v>2573</v>
      </c>
      <c r="I1567" s="2" t="s">
        <v>2426</v>
      </c>
      <c r="J1567" s="3">
        <v>41912</v>
      </c>
      <c r="K1567" s="2" t="str">
        <f>HYPERLINK("https://docs.wto.org/imrd/directdoc.asp?DDFDocuments/t/G/SPS/NVNM57.DOC")</f>
        <v>https://docs.wto.org/imrd/directdoc.asp?DDFDocuments/t/G/SPS/NVNM57.DOC</v>
      </c>
      <c r="L1567" s="2" t="str">
        <f>HYPERLINK("https://docs.wto.org/imrd/directdoc.asp?DDFDocuments/u/G/SPS/NVNM57.DOC")</f>
        <v>https://docs.wto.org/imrd/directdoc.asp?DDFDocuments/u/G/SPS/NVNM57.DOC</v>
      </c>
      <c r="M1567" s="2" t="str">
        <f>HYPERLINK("https://docs.wto.org/imrd/directdoc.asp?DDFDocuments/v/G/SPS/NVNM57.DOC")</f>
        <v>https://docs.wto.org/imrd/directdoc.asp?DDFDocuments/v/G/SPS/NVNM57.DOC</v>
      </c>
      <c r="N1567" s="2" t="str">
        <f>HYPERLINK("http://www.epingalert.org/#/details/G/SPS/N/VNM/57")</f>
        <v>http://www.epingalert.org/#/details/G/SPS/N/VNM/57</v>
      </c>
      <c r="O1567" s="2"/>
    </row>
    <row r="1568" spans="1:15" ht="240" customHeight="1" outlineLevel="1" x14ac:dyDescent="0.25">
      <c r="A1568" s="2" t="s">
        <v>25</v>
      </c>
      <c r="B1568" s="2" t="s">
        <v>5917</v>
      </c>
      <c r="C1568" s="2" t="s">
        <v>2528</v>
      </c>
      <c r="D1568" s="2" t="s">
        <v>5918</v>
      </c>
      <c r="E1568" s="3">
        <v>41849</v>
      </c>
      <c r="F1568" s="2" t="s">
        <v>299</v>
      </c>
      <c r="G1568" s="2" t="s">
        <v>5919</v>
      </c>
      <c r="H1568" s="2" t="s">
        <v>2573</v>
      </c>
      <c r="I1568" s="2" t="s">
        <v>5594</v>
      </c>
      <c r="J1568" s="3">
        <v>41909</v>
      </c>
      <c r="K1568" s="2" t="str">
        <f>HYPERLINK("https://docs.wto.org/imrd/directdoc.asp?DDFDocuments/t/G/SPS/NKOR480.DOC")</f>
        <v>https://docs.wto.org/imrd/directdoc.asp?DDFDocuments/t/G/SPS/NKOR480.DOC</v>
      </c>
      <c r="L1568" s="2" t="str">
        <f>HYPERLINK("https://docs.wto.org/imrd/directdoc.asp?DDFDocuments/u/G/SPS/NKOR480.DOC")</f>
        <v>https://docs.wto.org/imrd/directdoc.asp?DDFDocuments/u/G/SPS/NKOR480.DOC</v>
      </c>
      <c r="M1568" s="2" t="str">
        <f>HYPERLINK("https://docs.wto.org/imrd/directdoc.asp?DDFDocuments/v/G/SPS/NKOR480.DOC")</f>
        <v>https://docs.wto.org/imrd/directdoc.asp?DDFDocuments/v/G/SPS/NKOR480.DOC</v>
      </c>
      <c r="N1568" s="2" t="str">
        <f>HYPERLINK("http://www.epingalert.org/#/details/G/SPS/N/KOR/480")</f>
        <v>http://www.epingalert.org/#/details/G/SPS/N/KOR/480</v>
      </c>
      <c r="O1568" s="2"/>
    </row>
    <row r="1569" spans="1:15" ht="240" customHeight="1" outlineLevel="1" x14ac:dyDescent="0.25">
      <c r="A1569" s="2" t="s">
        <v>42</v>
      </c>
      <c r="B1569" s="2" t="s">
        <v>5920</v>
      </c>
      <c r="C1569" s="2" t="s">
        <v>5921</v>
      </c>
      <c r="D1569" s="2" t="s">
        <v>5549</v>
      </c>
      <c r="E1569" s="3">
        <v>41849</v>
      </c>
      <c r="F1569" s="2" t="s">
        <v>5922</v>
      </c>
      <c r="G1569" s="2"/>
      <c r="H1569" s="2" t="s">
        <v>2573</v>
      </c>
      <c r="I1569" s="2" t="s">
        <v>2453</v>
      </c>
      <c r="J1569" s="3">
        <v>41873</v>
      </c>
      <c r="K1569" s="2" t="str">
        <f>HYPERLINK("https://docs.wto.org/imrd/directdoc.asp?DDFDocuments/t/G/SPS/NBRA959.DOC")</f>
        <v>https://docs.wto.org/imrd/directdoc.asp?DDFDocuments/t/G/SPS/NBRA959.DOC</v>
      </c>
      <c r="L1569" s="2" t="str">
        <f>HYPERLINK("https://docs.wto.org/imrd/directdoc.asp?DDFDocuments/u/G/SPS/NBRA959.DOC")</f>
        <v>https://docs.wto.org/imrd/directdoc.asp?DDFDocuments/u/G/SPS/NBRA959.DOC</v>
      </c>
      <c r="M1569" s="2" t="str">
        <f>HYPERLINK("https://docs.wto.org/imrd/directdoc.asp?DDFDocuments/v/G/SPS/NBRA959.DOC")</f>
        <v>https://docs.wto.org/imrd/directdoc.asp?DDFDocuments/v/G/SPS/NBRA959.DOC</v>
      </c>
      <c r="N1569" s="2" t="str">
        <f>HYPERLINK("http://www.epingalert.org/#/details/G/SPS/N/BRA/959")</f>
        <v>http://www.epingalert.org/#/details/G/SPS/N/BRA/959</v>
      </c>
      <c r="O1569" s="2"/>
    </row>
    <row r="1570" spans="1:15" ht="240" customHeight="1" outlineLevel="1" x14ac:dyDescent="0.25">
      <c r="A1570" s="2" t="s">
        <v>42</v>
      </c>
      <c r="B1570" s="2" t="s">
        <v>5923</v>
      </c>
      <c r="C1570" s="2" t="s">
        <v>5924</v>
      </c>
      <c r="D1570" s="2" t="s">
        <v>5565</v>
      </c>
      <c r="E1570" s="3">
        <v>41849</v>
      </c>
      <c r="F1570" s="2" t="s">
        <v>5925</v>
      </c>
      <c r="G1570" s="2"/>
      <c r="H1570" s="2" t="s">
        <v>2573</v>
      </c>
      <c r="I1570" s="2" t="s">
        <v>2453</v>
      </c>
      <c r="J1570" s="3">
        <v>41873</v>
      </c>
      <c r="K1570" s="2" t="str">
        <f>HYPERLINK("https://docs.wto.org/imrd/directdoc.asp?DDFDocuments/t/G/SPS/NBRA958.DOC")</f>
        <v>https://docs.wto.org/imrd/directdoc.asp?DDFDocuments/t/G/SPS/NBRA958.DOC</v>
      </c>
      <c r="L1570" s="2" t="str">
        <f>HYPERLINK("https://docs.wto.org/imrd/directdoc.asp?DDFDocuments/u/G/SPS/NBRA958.DOC")</f>
        <v>https://docs.wto.org/imrd/directdoc.asp?DDFDocuments/u/G/SPS/NBRA958.DOC</v>
      </c>
      <c r="M1570" s="2" t="str">
        <f>HYPERLINK("https://docs.wto.org/imrd/directdoc.asp?DDFDocuments/v/G/SPS/NBRA958.DOC")</f>
        <v>https://docs.wto.org/imrd/directdoc.asp?DDFDocuments/v/G/SPS/NBRA958.DOC</v>
      </c>
      <c r="N1570" s="2" t="str">
        <f>HYPERLINK("http://www.epingalert.org/#/details/G/SPS/N/BRA/958")</f>
        <v>http://www.epingalert.org/#/details/G/SPS/N/BRA/958</v>
      </c>
      <c r="O1570" s="2"/>
    </row>
    <row r="1571" spans="1:15" ht="240" customHeight="1" outlineLevel="1" x14ac:dyDescent="0.25">
      <c r="A1571" s="2" t="s">
        <v>42</v>
      </c>
      <c r="B1571" s="2" t="s">
        <v>5926</v>
      </c>
      <c r="C1571" s="2" t="s">
        <v>5927</v>
      </c>
      <c r="D1571" s="2" t="s">
        <v>5928</v>
      </c>
      <c r="E1571" s="3">
        <v>41849</v>
      </c>
      <c r="F1571" s="2" t="s">
        <v>5575</v>
      </c>
      <c r="G1571" s="2"/>
      <c r="H1571" s="2" t="s">
        <v>2573</v>
      </c>
      <c r="I1571" s="2" t="s">
        <v>2453</v>
      </c>
      <c r="J1571" s="3">
        <v>41873</v>
      </c>
      <c r="K1571" s="2" t="str">
        <f>HYPERLINK("https://docs.wto.org/imrd/directdoc.asp?DDFDocuments/t/G/SPS/NBRA957.DOC")</f>
        <v>https://docs.wto.org/imrd/directdoc.asp?DDFDocuments/t/G/SPS/NBRA957.DOC</v>
      </c>
      <c r="L1571" s="2" t="str">
        <f>HYPERLINK("https://docs.wto.org/imrd/directdoc.asp?DDFDocuments/u/G/SPS/NBRA957.DOC")</f>
        <v>https://docs.wto.org/imrd/directdoc.asp?DDFDocuments/u/G/SPS/NBRA957.DOC</v>
      </c>
      <c r="M1571" s="2" t="str">
        <f>HYPERLINK("https://docs.wto.org/imrd/directdoc.asp?DDFDocuments/v/G/SPS/NBRA957.DOC")</f>
        <v>https://docs.wto.org/imrd/directdoc.asp?DDFDocuments/v/G/SPS/NBRA957.DOC</v>
      </c>
      <c r="N1571" s="2" t="str">
        <f>HYPERLINK("http://www.epingalert.org/#/details/G/SPS/N/BRA/957")</f>
        <v>http://www.epingalert.org/#/details/G/SPS/N/BRA/957</v>
      </c>
      <c r="O1571" s="2"/>
    </row>
    <row r="1572" spans="1:15" ht="240" customHeight="1" outlineLevel="1" x14ac:dyDescent="0.25">
      <c r="A1572" s="2" t="s">
        <v>1908</v>
      </c>
      <c r="B1572" s="2" t="s">
        <v>8290</v>
      </c>
      <c r="C1572" s="2"/>
      <c r="D1572" s="2"/>
      <c r="E1572" s="3">
        <v>41849</v>
      </c>
      <c r="F1572" s="2" t="s">
        <v>8291</v>
      </c>
      <c r="G1572" s="2" t="s">
        <v>8292</v>
      </c>
      <c r="H1572" s="2" t="s">
        <v>2573</v>
      </c>
      <c r="I1572" s="2" t="s">
        <v>2444</v>
      </c>
      <c r="J1572" s="2"/>
      <c r="K1572" s="2" t="str">
        <f>HYPERLINK("https://docs.wto.org/imrd/directdoc.asp?DDFDocuments/t/G/SPS/NCAN787A1.DOC")</f>
        <v>https://docs.wto.org/imrd/directdoc.asp?DDFDocuments/t/G/SPS/NCAN787A1.DOC</v>
      </c>
      <c r="L1572" s="2" t="str">
        <f>HYPERLINK("https://docs.wto.org/imrd/directdoc.asp?DDFDocuments/u/G/SPS/NCAN787A1.DOC")</f>
        <v>https://docs.wto.org/imrd/directdoc.asp?DDFDocuments/u/G/SPS/NCAN787A1.DOC</v>
      </c>
      <c r="M1572" s="2" t="str">
        <f>HYPERLINK("https://docs.wto.org/imrd/directdoc.asp?DDFDocuments/v/G/SPS/NCAN787A1.DOC")</f>
        <v>https://docs.wto.org/imrd/directdoc.asp?DDFDocuments/v/G/SPS/NCAN787A1.DOC</v>
      </c>
      <c r="N1572" s="2" t="str">
        <f>HYPERLINK("http://www.epingalert.org/#/details/G/SPS/N/CAN/787/Add.1")</f>
        <v>http://www.epingalert.org/#/details/G/SPS/N/CAN/787/Add.1</v>
      </c>
      <c r="O1572" s="2"/>
    </row>
    <row r="1573" spans="1:15" ht="240" customHeight="1" outlineLevel="1" x14ac:dyDescent="0.25">
      <c r="A1573" s="2" t="s">
        <v>12</v>
      </c>
      <c r="B1573" s="2" t="s">
        <v>5929</v>
      </c>
      <c r="C1573" s="2"/>
      <c r="D1573" s="2"/>
      <c r="E1573" s="3">
        <v>41838</v>
      </c>
      <c r="F1573" s="2" t="s">
        <v>5930</v>
      </c>
      <c r="G1573" s="2"/>
      <c r="H1573" s="2" t="s">
        <v>2573</v>
      </c>
      <c r="I1573" s="2" t="s">
        <v>2426</v>
      </c>
      <c r="J1573" s="3">
        <v>41898</v>
      </c>
      <c r="K1573" s="2" t="str">
        <f>HYPERLINK("https://docs.wto.org/imrd/directdoc.asp?DDFDocuments/t/G/SPS/NEU13A6.DOC")</f>
        <v>https://docs.wto.org/imrd/directdoc.asp?DDFDocuments/t/G/SPS/NEU13A6.DOC</v>
      </c>
      <c r="L1573" s="2" t="str">
        <f>HYPERLINK("https://docs.wto.org/imrd/directdoc.asp?DDFDocuments/u/G/SPS/NEU13A6.DOC")</f>
        <v>https://docs.wto.org/imrd/directdoc.asp?DDFDocuments/u/G/SPS/NEU13A6.DOC</v>
      </c>
      <c r="M1573" s="2" t="str">
        <f>HYPERLINK("https://docs.wto.org/imrd/directdoc.asp?DDFDocuments/v/G/SPS/NEU13A6.DOC")</f>
        <v>https://docs.wto.org/imrd/directdoc.asp?DDFDocuments/v/G/SPS/NEU13A6.DOC</v>
      </c>
      <c r="N1573" s="2" t="str">
        <f>HYPERLINK("http://www.epingalert.org/#/details/G/SPS/N/EU/13/Add.6")</f>
        <v>http://www.epingalert.org/#/details/G/SPS/N/EU/13/Add.6</v>
      </c>
      <c r="O1573" s="2"/>
    </row>
    <row r="1574" spans="1:15" ht="240" customHeight="1" outlineLevel="1" x14ac:dyDescent="0.25">
      <c r="A1574" s="2" t="s">
        <v>12</v>
      </c>
      <c r="B1574" s="2" t="s">
        <v>5936</v>
      </c>
      <c r="C1574" s="2" t="s">
        <v>5937</v>
      </c>
      <c r="D1574" s="2" t="s">
        <v>5938</v>
      </c>
      <c r="E1574" s="3">
        <v>41838</v>
      </c>
      <c r="F1574" s="2" t="s">
        <v>2451</v>
      </c>
      <c r="G1574" s="2" t="s">
        <v>5939</v>
      </c>
      <c r="H1574" s="2" t="s">
        <v>2573</v>
      </c>
      <c r="I1574" s="2" t="s">
        <v>2453</v>
      </c>
      <c r="J1574" s="3">
        <v>41898</v>
      </c>
      <c r="K1574" s="2" t="str">
        <f>HYPERLINK("https://docs.wto.org/imrd/directdoc.asp?DDFDocuments/t/G/SPS/NEU93.DOC")</f>
        <v>https://docs.wto.org/imrd/directdoc.asp?DDFDocuments/t/G/SPS/NEU93.DOC</v>
      </c>
      <c r="L1574" s="2" t="str">
        <f>HYPERLINK("https://docs.wto.org/imrd/directdoc.asp?DDFDocuments/u/G/SPS/NEU93.DOC")</f>
        <v>https://docs.wto.org/imrd/directdoc.asp?DDFDocuments/u/G/SPS/NEU93.DOC</v>
      </c>
      <c r="M1574" s="2" t="str">
        <f>HYPERLINK("https://docs.wto.org/imrd/directdoc.asp?DDFDocuments/v/G/SPS/NEU93.DOC")</f>
        <v>https://docs.wto.org/imrd/directdoc.asp?DDFDocuments/v/G/SPS/NEU93.DOC</v>
      </c>
      <c r="N1574" s="2" t="str">
        <f>HYPERLINK("http://www.epingalert.org/#/details/G/SPS/N/EU/93")</f>
        <v>http://www.epingalert.org/#/details/G/SPS/N/EU/93</v>
      </c>
      <c r="O1574" s="2"/>
    </row>
    <row r="1575" spans="1:15" ht="240" customHeight="1" outlineLevel="1" x14ac:dyDescent="0.25">
      <c r="A1575" s="2" t="s">
        <v>225</v>
      </c>
      <c r="B1575" s="2" t="s">
        <v>8300</v>
      </c>
      <c r="C1575" s="2" t="s">
        <v>8301</v>
      </c>
      <c r="D1575" s="2" t="s">
        <v>8302</v>
      </c>
      <c r="E1575" s="3">
        <v>41838</v>
      </c>
      <c r="F1575" s="2" t="s">
        <v>8281</v>
      </c>
      <c r="G1575" s="2" t="s">
        <v>2381</v>
      </c>
      <c r="H1575" s="2" t="s">
        <v>2573</v>
      </c>
      <c r="I1575" s="2" t="s">
        <v>8303</v>
      </c>
      <c r="J1575" s="3">
        <v>41880</v>
      </c>
      <c r="K1575" s="2" t="str">
        <f>HYPERLINK("https://docs.wto.org/imrd/directdoc.asp?DDFDocuments/t/G/SPS/NAUS343.DOC")</f>
        <v>https://docs.wto.org/imrd/directdoc.asp?DDFDocuments/t/G/SPS/NAUS343.DOC</v>
      </c>
      <c r="L1575" s="2" t="str">
        <f>HYPERLINK("https://docs.wto.org/imrd/directdoc.asp?DDFDocuments/u/G/SPS/NAUS343.DOC")</f>
        <v>https://docs.wto.org/imrd/directdoc.asp?DDFDocuments/u/G/SPS/NAUS343.DOC</v>
      </c>
      <c r="M1575" s="2" t="str">
        <f>HYPERLINK("https://docs.wto.org/imrd/directdoc.asp?DDFDocuments/v/G/SPS/NAUS343.DOC")</f>
        <v>https://docs.wto.org/imrd/directdoc.asp?DDFDocuments/v/G/SPS/NAUS343.DOC</v>
      </c>
      <c r="N1575" s="2" t="str">
        <f>HYPERLINK("http://www.epingalert.org/#/details/G/SPS/N/AUS/343")</f>
        <v>http://www.epingalert.org/#/details/G/SPS/N/AUS/343</v>
      </c>
      <c r="O1575" s="2"/>
    </row>
    <row r="1576" spans="1:15" ht="240" customHeight="1" outlineLevel="1" x14ac:dyDescent="0.25">
      <c r="A1576" s="2" t="s">
        <v>12</v>
      </c>
      <c r="B1576" s="2" t="s">
        <v>5931</v>
      </c>
      <c r="C1576" s="2"/>
      <c r="D1576" s="2"/>
      <c r="E1576" s="3">
        <v>41838</v>
      </c>
      <c r="F1576" s="2" t="s">
        <v>2451</v>
      </c>
      <c r="G1576" s="2" t="s">
        <v>5932</v>
      </c>
      <c r="H1576" s="2" t="s">
        <v>2573</v>
      </c>
      <c r="I1576" s="2" t="s">
        <v>2444</v>
      </c>
      <c r="J1576" s="2"/>
      <c r="K1576" s="2" t="str">
        <f>HYPERLINK("https://docs.wto.org/imrd/directdoc.asp?DDFDocuments/t/G/SPS/NEU63A1.DOC")</f>
        <v>https://docs.wto.org/imrd/directdoc.asp?DDFDocuments/t/G/SPS/NEU63A1.DOC</v>
      </c>
      <c r="L1576" s="2" t="str">
        <f>HYPERLINK("https://docs.wto.org/imrd/directdoc.asp?DDFDocuments/u/G/SPS/NEU63A1.DOC")</f>
        <v>https://docs.wto.org/imrd/directdoc.asp?DDFDocuments/u/G/SPS/NEU63A1.DOC</v>
      </c>
      <c r="M1576" s="2" t="str">
        <f>HYPERLINK("https://docs.wto.org/imrd/directdoc.asp?DDFDocuments/v/G/SPS/NEU63A1.DOC")</f>
        <v>https://docs.wto.org/imrd/directdoc.asp?DDFDocuments/v/G/SPS/NEU63A1.DOC</v>
      </c>
      <c r="N1576" s="2" t="str">
        <f>HYPERLINK("http://www.epingalert.org/#/details/G/SPS/N/EU/63/Add.1")</f>
        <v>http://www.epingalert.org/#/details/G/SPS/N/EU/63/Add.1</v>
      </c>
      <c r="O1576" s="2"/>
    </row>
    <row r="1577" spans="1:15" ht="240" customHeight="1" outlineLevel="1" x14ac:dyDescent="0.25">
      <c r="A1577" s="2" t="s">
        <v>12</v>
      </c>
      <c r="B1577" s="2" t="s">
        <v>5933</v>
      </c>
      <c r="C1577" s="2"/>
      <c r="D1577" s="2"/>
      <c r="E1577" s="3">
        <v>41838</v>
      </c>
      <c r="F1577" s="2" t="s">
        <v>5934</v>
      </c>
      <c r="G1577" s="2" t="s">
        <v>5935</v>
      </c>
      <c r="H1577" s="2" t="s">
        <v>2573</v>
      </c>
      <c r="I1577" s="2" t="s">
        <v>2444</v>
      </c>
      <c r="J1577" s="2"/>
      <c r="K1577" s="2" t="str">
        <f>HYPERLINK("https://docs.wto.org/imrd/directdoc.asp?DDFDocuments/t/G/SPS/NEU53A1.DOC")</f>
        <v>https://docs.wto.org/imrd/directdoc.asp?DDFDocuments/t/G/SPS/NEU53A1.DOC</v>
      </c>
      <c r="L1577" s="2" t="str">
        <f>HYPERLINK("https://docs.wto.org/imrd/directdoc.asp?DDFDocuments/u/G/SPS/NEU53A1.DOC")</f>
        <v>https://docs.wto.org/imrd/directdoc.asp?DDFDocuments/u/G/SPS/NEU53A1.DOC</v>
      </c>
      <c r="M1577" s="2" t="str">
        <f>HYPERLINK("https://docs.wto.org/imrd/directdoc.asp?DDFDocuments/v/G/SPS/NEU53A1.DOC")</f>
        <v>https://docs.wto.org/imrd/directdoc.asp?DDFDocuments/v/G/SPS/NEU53A1.DOC</v>
      </c>
      <c r="N1577" s="2" t="str">
        <f>HYPERLINK("http://www.epingalert.org/#/details/G/SPS/N/EU/53/Add.1")</f>
        <v>http://www.epingalert.org/#/details/G/SPS/N/EU/53/Add.1</v>
      </c>
      <c r="O1577" s="2"/>
    </row>
    <row r="1578" spans="1:15" ht="240" customHeight="1" outlineLevel="1" x14ac:dyDescent="0.25">
      <c r="A1578" s="2" t="s">
        <v>115</v>
      </c>
      <c r="B1578" s="2" t="s">
        <v>8313</v>
      </c>
      <c r="C1578" s="2" t="s">
        <v>6754</v>
      </c>
      <c r="D1578" s="2" t="s">
        <v>8314</v>
      </c>
      <c r="E1578" s="3">
        <v>41837</v>
      </c>
      <c r="F1578" s="2" t="s">
        <v>6775</v>
      </c>
      <c r="G1578" s="2" t="s">
        <v>8315</v>
      </c>
      <c r="H1578" s="2" t="s">
        <v>2573</v>
      </c>
      <c r="I1578" s="2" t="s">
        <v>8316</v>
      </c>
      <c r="J1578" s="3">
        <v>41897</v>
      </c>
      <c r="K1578" s="2" t="str">
        <f>HYPERLINK("https://docs.wto.org/imrd/directdoc.asp?DDFDocuments/t/G/SPS/NJPN357.DOC")</f>
        <v>https://docs.wto.org/imrd/directdoc.asp?DDFDocuments/t/G/SPS/NJPN357.DOC</v>
      </c>
      <c r="L1578" s="2" t="str">
        <f>HYPERLINK("https://docs.wto.org/imrd/directdoc.asp?DDFDocuments/u/G/SPS/NJPN357.DOC")</f>
        <v>https://docs.wto.org/imrd/directdoc.asp?DDFDocuments/u/G/SPS/NJPN357.DOC</v>
      </c>
      <c r="M1578" s="2" t="str">
        <f>HYPERLINK("https://docs.wto.org/imrd/directdoc.asp?DDFDocuments/v/G/SPS/NJPN357.DOC")</f>
        <v>https://docs.wto.org/imrd/directdoc.asp?DDFDocuments/v/G/SPS/NJPN357.DOC</v>
      </c>
      <c r="N1578" s="2" t="str">
        <f>HYPERLINK("http://www.epingalert.org/#/details/G/SPS/N/JPN/357")</f>
        <v>http://www.epingalert.org/#/details/G/SPS/N/JPN/357</v>
      </c>
      <c r="O1578" s="2"/>
    </row>
    <row r="1579" spans="1:15" ht="240" customHeight="1" outlineLevel="1" x14ac:dyDescent="0.25">
      <c r="A1579" s="2" t="s">
        <v>115</v>
      </c>
      <c r="B1579" s="2" t="s">
        <v>8317</v>
      </c>
      <c r="C1579" s="2" t="s">
        <v>6754</v>
      </c>
      <c r="D1579" s="2" t="s">
        <v>8318</v>
      </c>
      <c r="E1579" s="3">
        <v>41837</v>
      </c>
      <c r="F1579" s="2" t="s">
        <v>8319</v>
      </c>
      <c r="G1579" s="2" t="s">
        <v>8320</v>
      </c>
      <c r="H1579" s="2" t="s">
        <v>2573</v>
      </c>
      <c r="I1579" s="2" t="s">
        <v>2453</v>
      </c>
      <c r="J1579" s="3">
        <v>41897</v>
      </c>
      <c r="K1579" s="2" t="str">
        <f>HYPERLINK("https://docs.wto.org/imrd/directdoc.asp?DDFDocuments/t/G/SPS/NJPN356.DOC")</f>
        <v>https://docs.wto.org/imrd/directdoc.asp?DDFDocuments/t/G/SPS/NJPN356.DOC</v>
      </c>
      <c r="L1579" s="2" t="str">
        <f>HYPERLINK("https://docs.wto.org/imrd/directdoc.asp?DDFDocuments/u/G/SPS/NJPN356.DOC")</f>
        <v>https://docs.wto.org/imrd/directdoc.asp?DDFDocuments/u/G/SPS/NJPN356.DOC</v>
      </c>
      <c r="M1579" s="2" t="str">
        <f>HYPERLINK("https://docs.wto.org/imrd/directdoc.asp?DDFDocuments/v/G/SPS/NJPN356.DOC")</f>
        <v>https://docs.wto.org/imrd/directdoc.asp?DDFDocuments/v/G/SPS/NJPN356.DOC</v>
      </c>
      <c r="N1579" s="2" t="str">
        <f>HYPERLINK("http://www.epingalert.org/#/details/G/SPS/N/JPN/356")</f>
        <v>http://www.epingalert.org/#/details/G/SPS/N/JPN/356</v>
      </c>
      <c r="O1579" s="2"/>
    </row>
    <row r="1580" spans="1:15" ht="240" customHeight="1" outlineLevel="1" x14ac:dyDescent="0.25">
      <c r="A1580" s="2" t="s">
        <v>115</v>
      </c>
      <c r="B1580" s="2" t="s">
        <v>8321</v>
      </c>
      <c r="C1580" s="2" t="s">
        <v>6754</v>
      </c>
      <c r="D1580" s="2" t="s">
        <v>8322</v>
      </c>
      <c r="E1580" s="3">
        <v>41837</v>
      </c>
      <c r="F1580" s="2" t="s">
        <v>7046</v>
      </c>
      <c r="G1580" s="2" t="s">
        <v>8323</v>
      </c>
      <c r="H1580" s="2" t="s">
        <v>2573</v>
      </c>
      <c r="I1580" s="2" t="s">
        <v>2453</v>
      </c>
      <c r="J1580" s="3">
        <v>41897</v>
      </c>
      <c r="K1580" s="2" t="str">
        <f>HYPERLINK("https://docs.wto.org/imrd/directdoc.asp?DDFDocuments/t/G/SPS/NJPN355.DOC")</f>
        <v>https://docs.wto.org/imrd/directdoc.asp?DDFDocuments/t/G/SPS/NJPN355.DOC</v>
      </c>
      <c r="L1580" s="2" t="str">
        <f>HYPERLINK("https://docs.wto.org/imrd/directdoc.asp?DDFDocuments/u/G/SPS/NJPN355.DOC")</f>
        <v>https://docs.wto.org/imrd/directdoc.asp?DDFDocuments/u/G/SPS/NJPN355.DOC</v>
      </c>
      <c r="M1580" s="2" t="str">
        <f>HYPERLINK("https://docs.wto.org/imrd/directdoc.asp?DDFDocuments/v/G/SPS/NJPN355.DOC")</f>
        <v>https://docs.wto.org/imrd/directdoc.asp?DDFDocuments/v/G/SPS/NJPN355.DOC</v>
      </c>
      <c r="N1580" s="2" t="str">
        <f>HYPERLINK("http://www.epingalert.org/#/details/G/SPS/N/JPN/355")</f>
        <v>http://www.epingalert.org/#/details/G/SPS/N/JPN/355</v>
      </c>
      <c r="O1580" s="2"/>
    </row>
    <row r="1581" spans="1:15" ht="240" customHeight="1" outlineLevel="1" x14ac:dyDescent="0.25">
      <c r="A1581" s="2" t="s">
        <v>1908</v>
      </c>
      <c r="B1581" s="2" t="s">
        <v>5940</v>
      </c>
      <c r="C1581" s="2"/>
      <c r="D1581" s="2"/>
      <c r="E1581" s="3">
        <v>41837</v>
      </c>
      <c r="F1581" s="2" t="s">
        <v>5941</v>
      </c>
      <c r="G1581" s="2"/>
      <c r="H1581" s="2" t="s">
        <v>2573</v>
      </c>
      <c r="I1581" s="2" t="s">
        <v>2672</v>
      </c>
      <c r="J1581" s="3">
        <v>41880</v>
      </c>
      <c r="K1581" s="2" t="str">
        <f>HYPERLINK("https://docs.wto.org/imrd/directdoc.asp?DDFDocuments/t/G/SPS/NCAN613R1A6.DOC")</f>
        <v>https://docs.wto.org/imrd/directdoc.asp?DDFDocuments/t/G/SPS/NCAN613R1A6.DOC</v>
      </c>
      <c r="L1581" s="2" t="str">
        <f>HYPERLINK("https://docs.wto.org/imrd/directdoc.asp?DDFDocuments/u/G/SPS/NCAN613R1A6.DOC")</f>
        <v>https://docs.wto.org/imrd/directdoc.asp?DDFDocuments/u/G/SPS/NCAN613R1A6.DOC</v>
      </c>
      <c r="M1581" s="2" t="str">
        <f>HYPERLINK("https://docs.wto.org/imrd/directdoc.asp?DDFDocuments/v/G/SPS/NCAN613R1A6.DOC")</f>
        <v>https://docs.wto.org/imrd/directdoc.asp?DDFDocuments/v/G/SPS/NCAN613R1A6.DOC</v>
      </c>
      <c r="N1581" s="2" t="str">
        <f>HYPERLINK("http://www.epingalert.org/#/details/G/SPS/N/CAN/613/Rev.1/Add.6")</f>
        <v>http://www.epingalert.org/#/details/G/SPS/N/CAN/613/Rev.1/Add.6</v>
      </c>
      <c r="O1581" s="2"/>
    </row>
    <row r="1582" spans="1:15" ht="240" customHeight="1" outlineLevel="1" x14ac:dyDescent="0.25">
      <c r="A1582" s="2" t="s">
        <v>282</v>
      </c>
      <c r="B1582" s="2" t="s">
        <v>8304</v>
      </c>
      <c r="C1582" s="2" t="s">
        <v>8305</v>
      </c>
      <c r="D1582" s="2" t="s">
        <v>8306</v>
      </c>
      <c r="E1582" s="3">
        <v>41837</v>
      </c>
      <c r="F1582" s="2" t="s">
        <v>8307</v>
      </c>
      <c r="G1582" s="2" t="s">
        <v>8308</v>
      </c>
      <c r="H1582" s="2" t="s">
        <v>2573</v>
      </c>
      <c r="I1582" s="2" t="s">
        <v>2461</v>
      </c>
      <c r="J1582" s="2"/>
      <c r="K1582" s="2" t="str">
        <f>HYPERLINK("https://docs.wto.org/imrd/directdoc.asp?DDFDocuments/t/G/SPS/NRUS66.DOC")</f>
        <v>https://docs.wto.org/imrd/directdoc.asp?DDFDocuments/t/G/SPS/NRUS66.DOC</v>
      </c>
      <c r="L1582" s="2" t="str">
        <f>HYPERLINK("https://docs.wto.org/imrd/directdoc.asp?DDFDocuments/u/G/SPS/NRUS66.DOC")</f>
        <v>https://docs.wto.org/imrd/directdoc.asp?DDFDocuments/u/G/SPS/NRUS66.DOC</v>
      </c>
      <c r="M1582" s="2" t="str">
        <f>HYPERLINK("https://docs.wto.org/imrd/directdoc.asp?DDFDocuments/v/G/SPS/NRUS66.DOC")</f>
        <v>https://docs.wto.org/imrd/directdoc.asp?DDFDocuments/v/G/SPS/NRUS66.DOC</v>
      </c>
      <c r="N1582" s="2" t="str">
        <f>HYPERLINK("http://www.epingalert.org/#/details/G/SPS/N/RUS/66")</f>
        <v>http://www.epingalert.org/#/details/G/SPS/N/RUS/66</v>
      </c>
      <c r="O1582" s="2"/>
    </row>
    <row r="1583" spans="1:15" ht="240" customHeight="1" outlineLevel="1" x14ac:dyDescent="0.25">
      <c r="A1583" s="2" t="s">
        <v>282</v>
      </c>
      <c r="B1583" s="2" t="s">
        <v>8309</v>
      </c>
      <c r="C1583" s="2" t="s">
        <v>8310</v>
      </c>
      <c r="D1583" s="2" t="s">
        <v>8311</v>
      </c>
      <c r="E1583" s="3">
        <v>41837</v>
      </c>
      <c r="F1583" s="2" t="s">
        <v>8307</v>
      </c>
      <c r="G1583" s="2" t="s">
        <v>8312</v>
      </c>
      <c r="H1583" s="2" t="s">
        <v>2573</v>
      </c>
      <c r="I1583" s="2" t="s">
        <v>2461</v>
      </c>
      <c r="J1583" s="2"/>
      <c r="K1583" s="2" t="str">
        <f>HYPERLINK("https://docs.wto.org/imrd/directdoc.asp?DDFDocuments/t/G/SPS/NRUS65.DOC")</f>
        <v>https://docs.wto.org/imrd/directdoc.asp?DDFDocuments/t/G/SPS/NRUS65.DOC</v>
      </c>
      <c r="L1583" s="2" t="str">
        <f>HYPERLINK("https://docs.wto.org/imrd/directdoc.asp?DDFDocuments/u/G/SPS/NRUS65.DOC")</f>
        <v>https://docs.wto.org/imrd/directdoc.asp?DDFDocuments/u/G/SPS/NRUS65.DOC</v>
      </c>
      <c r="M1583" s="2" t="str">
        <f>HYPERLINK("https://docs.wto.org/imrd/directdoc.asp?DDFDocuments/v/G/SPS/NRUS65.DOC")</f>
        <v>https://docs.wto.org/imrd/directdoc.asp?DDFDocuments/v/G/SPS/NRUS65.DOC</v>
      </c>
      <c r="N1583" s="2" t="str">
        <f>HYPERLINK("http://www.epingalert.org/#/details/G/SPS/N/RUS/65")</f>
        <v>http://www.epingalert.org/#/details/G/SPS/N/RUS/65</v>
      </c>
      <c r="O1583" s="2"/>
    </row>
    <row r="1584" spans="1:15" ht="240" customHeight="1" outlineLevel="1" x14ac:dyDescent="0.25">
      <c r="A1584" s="2" t="s">
        <v>115</v>
      </c>
      <c r="B1584" s="2" t="s">
        <v>8325</v>
      </c>
      <c r="C1584" s="2" t="s">
        <v>6754</v>
      </c>
      <c r="D1584" s="2" t="s">
        <v>8326</v>
      </c>
      <c r="E1584" s="3">
        <v>41836</v>
      </c>
      <c r="F1584" s="2" t="s">
        <v>7046</v>
      </c>
      <c r="G1584" s="2" t="s">
        <v>8327</v>
      </c>
      <c r="H1584" s="2" t="s">
        <v>2573</v>
      </c>
      <c r="I1584" s="2" t="s">
        <v>2453</v>
      </c>
      <c r="J1584" s="3">
        <v>41896</v>
      </c>
      <c r="K1584" s="2" t="str">
        <f>HYPERLINK("https://docs.wto.org/imrd/directdoc.asp?DDFDocuments/t/G/SPS/NJPN354.DOC")</f>
        <v>https://docs.wto.org/imrd/directdoc.asp?DDFDocuments/t/G/SPS/NJPN354.DOC</v>
      </c>
      <c r="L1584" s="2" t="str">
        <f>HYPERLINK("https://docs.wto.org/imrd/directdoc.asp?DDFDocuments/u/G/SPS/NJPN354.DOC")</f>
        <v>https://docs.wto.org/imrd/directdoc.asp?DDFDocuments/u/G/SPS/NJPN354.DOC</v>
      </c>
      <c r="M1584" s="2" t="str">
        <f>HYPERLINK("https://docs.wto.org/imrd/directdoc.asp?DDFDocuments/v/G/SPS/NJPN354.DOC")</f>
        <v>https://docs.wto.org/imrd/directdoc.asp?DDFDocuments/v/G/SPS/NJPN354.DOC</v>
      </c>
      <c r="N1584" s="2" t="str">
        <f>HYPERLINK("http://www.epingalert.org/#/details/G/SPS/N/JPN/354")</f>
        <v>http://www.epingalert.org/#/details/G/SPS/N/JPN/354</v>
      </c>
      <c r="O1584" s="2"/>
    </row>
    <row r="1585" spans="1:15" ht="240" customHeight="1" outlineLevel="1" x14ac:dyDescent="0.25">
      <c r="A1585" s="2" t="s">
        <v>1908</v>
      </c>
      <c r="B1585" s="2" t="s">
        <v>8328</v>
      </c>
      <c r="C1585" s="2" t="s">
        <v>8329</v>
      </c>
      <c r="D1585" s="2" t="s">
        <v>8330</v>
      </c>
      <c r="E1585" s="3">
        <v>41836</v>
      </c>
      <c r="F1585" s="2" t="s">
        <v>8331</v>
      </c>
      <c r="G1585" s="2" t="s">
        <v>2287</v>
      </c>
      <c r="H1585" s="2" t="s">
        <v>2573</v>
      </c>
      <c r="I1585" s="2" t="s">
        <v>8332</v>
      </c>
      <c r="J1585" s="3">
        <v>41893</v>
      </c>
      <c r="K1585" s="2" t="str">
        <f>HYPERLINK("https://docs.wto.org/imrd/directdoc.asp?DDFDocuments/t/G/SPS/NCAN840.DOC")</f>
        <v>https://docs.wto.org/imrd/directdoc.asp?DDFDocuments/t/G/SPS/NCAN840.DOC</v>
      </c>
      <c r="L1585" s="2" t="str">
        <f>HYPERLINK("https://docs.wto.org/imrd/directdoc.asp?DDFDocuments/u/G/SPS/NCAN840.DOC")</f>
        <v>https://docs.wto.org/imrd/directdoc.asp?DDFDocuments/u/G/SPS/NCAN840.DOC</v>
      </c>
      <c r="M1585" s="2" t="str">
        <f>HYPERLINK("https://docs.wto.org/imrd/directdoc.asp?DDFDocuments/v/G/SPS/NCAN840.DOC")</f>
        <v>https://docs.wto.org/imrd/directdoc.asp?DDFDocuments/v/G/SPS/NCAN840.DOC</v>
      </c>
      <c r="N1585" s="2" t="str">
        <f>HYPERLINK("http://www.epingalert.org/#/details/G/SPS/N/CAN/840")</f>
        <v>http://www.epingalert.org/#/details/G/SPS/N/CAN/840</v>
      </c>
      <c r="O1585" s="2"/>
    </row>
    <row r="1586" spans="1:15" ht="240" customHeight="1" outlineLevel="1" x14ac:dyDescent="0.25">
      <c r="A1586" s="2" t="s">
        <v>1908</v>
      </c>
      <c r="B1586" s="2" t="s">
        <v>5942</v>
      </c>
      <c r="C1586" s="2"/>
      <c r="D1586" s="2"/>
      <c r="E1586" s="3">
        <v>41836</v>
      </c>
      <c r="F1586" s="2" t="s">
        <v>5943</v>
      </c>
      <c r="G1586" s="2"/>
      <c r="H1586" s="2" t="s">
        <v>2573</v>
      </c>
      <c r="I1586" s="2" t="s">
        <v>2444</v>
      </c>
      <c r="J1586" s="2"/>
      <c r="K1586" s="2" t="str">
        <f>HYPERLINK("https://docs.wto.org/imrd/directdoc.asp?DDFDocuments/t/G/SPS/NCAN806A1.DOC")</f>
        <v>https://docs.wto.org/imrd/directdoc.asp?DDFDocuments/t/G/SPS/NCAN806A1.DOC</v>
      </c>
      <c r="L1586" s="2" t="str">
        <f>HYPERLINK("https://docs.wto.org/imrd/directdoc.asp?DDFDocuments/u/G/SPS/NCAN806A1.DOC")</f>
        <v>https://docs.wto.org/imrd/directdoc.asp?DDFDocuments/u/G/SPS/NCAN806A1.DOC</v>
      </c>
      <c r="M1586" s="2" t="str">
        <f>HYPERLINK("https://docs.wto.org/imrd/directdoc.asp?DDFDocuments/v/G/SPS/NCAN806A1.DOC")</f>
        <v>https://docs.wto.org/imrd/directdoc.asp?DDFDocuments/v/G/SPS/NCAN806A1.DOC</v>
      </c>
      <c r="N1586" s="2" t="str">
        <f>HYPERLINK("http://www.epingalert.org/#/details/G/SPS/N/CAN/806/Add.1")</f>
        <v>http://www.epingalert.org/#/details/G/SPS/N/CAN/806/Add.1</v>
      </c>
      <c r="O1586" s="2"/>
    </row>
    <row r="1587" spans="1:15" ht="240" customHeight="1" outlineLevel="1" x14ac:dyDescent="0.25">
      <c r="A1587" s="2" t="s">
        <v>225</v>
      </c>
      <c r="B1587" s="2" t="s">
        <v>5955</v>
      </c>
      <c r="C1587" s="2" t="s">
        <v>5956</v>
      </c>
      <c r="D1587" s="2" t="s">
        <v>5957</v>
      </c>
      <c r="E1587" s="3">
        <v>41835</v>
      </c>
      <c r="F1587" s="2" t="s">
        <v>2961</v>
      </c>
      <c r="G1587" s="2"/>
      <c r="H1587" s="2" t="s">
        <v>2573</v>
      </c>
      <c r="I1587" s="2" t="s">
        <v>2461</v>
      </c>
      <c r="J1587" s="3">
        <v>41894</v>
      </c>
      <c r="K1587" s="2" t="str">
        <f>HYPERLINK("https://docs.wto.org/imrd/directdoc.asp?DDFDocuments/t/G/SPS/NAUS342.DOC")</f>
        <v>https://docs.wto.org/imrd/directdoc.asp?DDFDocuments/t/G/SPS/NAUS342.DOC</v>
      </c>
      <c r="L1587" s="2" t="str">
        <f>HYPERLINK("https://docs.wto.org/imrd/directdoc.asp?DDFDocuments/u/G/SPS/NAUS342.DOC")</f>
        <v>https://docs.wto.org/imrd/directdoc.asp?DDFDocuments/u/G/SPS/NAUS342.DOC</v>
      </c>
      <c r="M1587" s="2" t="str">
        <f>HYPERLINK("https://docs.wto.org/imrd/directdoc.asp?DDFDocuments/v/G/SPS/NAUS342.DOC")</f>
        <v>https://docs.wto.org/imrd/directdoc.asp?DDFDocuments/v/G/SPS/NAUS342.DOC</v>
      </c>
      <c r="N1587" s="2" t="str">
        <f>HYPERLINK("http://www.epingalert.org/#/details/G/SPS/N/AUS/342")</f>
        <v>http://www.epingalert.org/#/details/G/SPS/N/AUS/342</v>
      </c>
      <c r="O1587" s="2"/>
    </row>
    <row r="1588" spans="1:15" ht="240" customHeight="1" outlineLevel="1" x14ac:dyDescent="0.25">
      <c r="A1588" s="2" t="s">
        <v>1908</v>
      </c>
      <c r="B1588" s="2" t="s">
        <v>5944</v>
      </c>
      <c r="C1588" s="2"/>
      <c r="D1588" s="2"/>
      <c r="E1588" s="3">
        <v>41835</v>
      </c>
      <c r="F1588" s="2" t="s">
        <v>4191</v>
      </c>
      <c r="G1588" s="2" t="s">
        <v>5945</v>
      </c>
      <c r="H1588" s="2" t="s">
        <v>2573</v>
      </c>
      <c r="I1588" s="2" t="s">
        <v>2672</v>
      </c>
      <c r="J1588" s="3">
        <v>41880</v>
      </c>
      <c r="K1588" s="2" t="str">
        <f>HYPERLINK("https://docs.wto.org/imrd/directdoc.asp?DDFDocuments/t/G/SPS/NCAN700R1A1.DOC")</f>
        <v>https://docs.wto.org/imrd/directdoc.asp?DDFDocuments/t/G/SPS/NCAN700R1A1.DOC</v>
      </c>
      <c r="L1588" s="2" t="str">
        <f>HYPERLINK("https://docs.wto.org/imrd/directdoc.asp?DDFDocuments/u/G/SPS/NCAN700R1A1.DOC")</f>
        <v>https://docs.wto.org/imrd/directdoc.asp?DDFDocuments/u/G/SPS/NCAN700R1A1.DOC</v>
      </c>
      <c r="M1588" s="2" t="str">
        <f>HYPERLINK("https://docs.wto.org/imrd/directdoc.asp?DDFDocuments/v/G/SPS/NCAN700R1A1.DOC")</f>
        <v>https://docs.wto.org/imrd/directdoc.asp?DDFDocuments/v/G/SPS/NCAN700R1A1.DOC</v>
      </c>
      <c r="N1588" s="2" t="str">
        <f>HYPERLINK("http://www.epingalert.org/#/details/G/SPS/N/CAN/700/Rev.1/Add.1")</f>
        <v>http://www.epingalert.org/#/details/G/SPS/N/CAN/700/Rev.1/Add.1</v>
      </c>
      <c r="O1588" s="2"/>
    </row>
    <row r="1589" spans="1:15" ht="240" customHeight="1" outlineLevel="1" x14ac:dyDescent="0.25">
      <c r="A1589" s="2" t="s">
        <v>42</v>
      </c>
      <c r="B1589" s="2" t="s">
        <v>5947</v>
      </c>
      <c r="C1589" s="2" t="s">
        <v>5948</v>
      </c>
      <c r="D1589" s="2" t="s">
        <v>5561</v>
      </c>
      <c r="E1589" s="3">
        <v>41835</v>
      </c>
      <c r="F1589" s="2" t="s">
        <v>5561</v>
      </c>
      <c r="G1589" s="2"/>
      <c r="H1589" s="2" t="s">
        <v>2573</v>
      </c>
      <c r="I1589" s="2" t="s">
        <v>2453</v>
      </c>
      <c r="J1589" s="3">
        <v>41860</v>
      </c>
      <c r="K1589" s="2" t="str">
        <f>HYPERLINK("https://docs.wto.org/imrd/directdoc.asp?DDFDocuments/t/G/SPS/NBRA956.DOC")</f>
        <v>https://docs.wto.org/imrd/directdoc.asp?DDFDocuments/t/G/SPS/NBRA956.DOC</v>
      </c>
      <c r="L1589" s="2" t="str">
        <f>HYPERLINK("https://docs.wto.org/imrd/directdoc.asp?DDFDocuments/u/G/SPS/NBRA956.DOC")</f>
        <v>https://docs.wto.org/imrd/directdoc.asp?DDFDocuments/u/G/SPS/NBRA956.DOC</v>
      </c>
      <c r="M1589" s="2" t="str">
        <f>HYPERLINK("https://docs.wto.org/imrd/directdoc.asp?DDFDocuments/v/G/SPS/NBRA956.DOC")</f>
        <v>https://docs.wto.org/imrd/directdoc.asp?DDFDocuments/v/G/SPS/NBRA956.DOC</v>
      </c>
      <c r="N1589" s="2" t="str">
        <f>HYPERLINK("http://www.epingalert.org/#/details/G/SPS/N/BRA/956")</f>
        <v>http://www.epingalert.org/#/details/G/SPS/N/BRA/956</v>
      </c>
      <c r="O1589" s="2"/>
    </row>
    <row r="1590" spans="1:15" ht="240" customHeight="1" outlineLevel="1" x14ac:dyDescent="0.25">
      <c r="A1590" s="2" t="s">
        <v>42</v>
      </c>
      <c r="B1590" s="2" t="s">
        <v>5949</v>
      </c>
      <c r="C1590" s="2" t="s">
        <v>5950</v>
      </c>
      <c r="D1590" s="2" t="s">
        <v>5563</v>
      </c>
      <c r="E1590" s="3">
        <v>41835</v>
      </c>
      <c r="F1590" s="2" t="s">
        <v>5563</v>
      </c>
      <c r="G1590" s="2"/>
      <c r="H1590" s="2" t="s">
        <v>2573</v>
      </c>
      <c r="I1590" s="2" t="s">
        <v>2453</v>
      </c>
      <c r="J1590" s="3">
        <v>41860</v>
      </c>
      <c r="K1590" s="2" t="str">
        <f>HYPERLINK("https://docs.wto.org/imrd/directdoc.asp?DDFDocuments/t/G/SPS/NBRA955.DOC")</f>
        <v>https://docs.wto.org/imrd/directdoc.asp?DDFDocuments/t/G/SPS/NBRA955.DOC</v>
      </c>
      <c r="L1590" s="2" t="str">
        <f>HYPERLINK("https://docs.wto.org/imrd/directdoc.asp?DDFDocuments/u/G/SPS/NBRA955.DOC")</f>
        <v>https://docs.wto.org/imrd/directdoc.asp?DDFDocuments/u/G/SPS/NBRA955.DOC</v>
      </c>
      <c r="M1590" s="2" t="str">
        <f>HYPERLINK("https://docs.wto.org/imrd/directdoc.asp?DDFDocuments/v/G/SPS/NBRA955.DOC")</f>
        <v>https://docs.wto.org/imrd/directdoc.asp?DDFDocuments/v/G/SPS/NBRA955.DOC</v>
      </c>
      <c r="N1590" s="2" t="str">
        <f>HYPERLINK("http://www.epingalert.org/#/details/G/SPS/N/BRA/955")</f>
        <v>http://www.epingalert.org/#/details/G/SPS/N/BRA/955</v>
      </c>
      <c r="O1590" s="2"/>
    </row>
    <row r="1591" spans="1:15" ht="240" customHeight="1" outlineLevel="1" x14ac:dyDescent="0.25">
      <c r="A1591" s="2" t="s">
        <v>42</v>
      </c>
      <c r="B1591" s="2" t="s">
        <v>5951</v>
      </c>
      <c r="C1591" s="2" t="s">
        <v>5952</v>
      </c>
      <c r="D1591" s="2" t="s">
        <v>5953</v>
      </c>
      <c r="E1591" s="3">
        <v>41835</v>
      </c>
      <c r="F1591" s="2" t="s">
        <v>5954</v>
      </c>
      <c r="G1591" s="2"/>
      <c r="H1591" s="2" t="s">
        <v>2573</v>
      </c>
      <c r="I1591" s="2" t="s">
        <v>2453</v>
      </c>
      <c r="J1591" s="3">
        <v>41860</v>
      </c>
      <c r="K1591" s="2" t="str">
        <f>HYPERLINK("https://docs.wto.org/imrd/directdoc.asp?DDFDocuments/t/G/SPS/NBRA954.DOC")</f>
        <v>https://docs.wto.org/imrd/directdoc.asp?DDFDocuments/t/G/SPS/NBRA954.DOC</v>
      </c>
      <c r="L1591" s="2" t="str">
        <f>HYPERLINK("https://docs.wto.org/imrd/directdoc.asp?DDFDocuments/u/G/SPS/NBRA954.DOC")</f>
        <v>https://docs.wto.org/imrd/directdoc.asp?DDFDocuments/u/G/SPS/NBRA954.DOC</v>
      </c>
      <c r="M1591" s="2" t="str">
        <f>HYPERLINK("https://docs.wto.org/imrd/directdoc.asp?DDFDocuments/v/G/SPS/NBRA954.DOC")</f>
        <v>https://docs.wto.org/imrd/directdoc.asp?DDFDocuments/v/G/SPS/NBRA954.DOC</v>
      </c>
      <c r="N1591" s="2" t="str">
        <f>HYPERLINK("http://www.epingalert.org/#/details/G/SPS/N/BRA/954")</f>
        <v>http://www.epingalert.org/#/details/G/SPS/N/BRA/954</v>
      </c>
      <c r="O1591" s="2"/>
    </row>
    <row r="1592" spans="1:15" ht="240" customHeight="1" outlineLevel="1" x14ac:dyDescent="0.25">
      <c r="A1592" s="2" t="s">
        <v>12</v>
      </c>
      <c r="B1592" s="2" t="s">
        <v>5946</v>
      </c>
      <c r="C1592" s="2"/>
      <c r="D1592" s="2"/>
      <c r="E1592" s="3">
        <v>41835</v>
      </c>
      <c r="F1592" s="2" t="s">
        <v>2451</v>
      </c>
      <c r="G1592" s="2"/>
      <c r="H1592" s="2" t="s">
        <v>2573</v>
      </c>
      <c r="I1592" s="2" t="s">
        <v>2444</v>
      </c>
      <c r="J1592" s="2"/>
      <c r="K1592" s="2" t="str">
        <f>HYPERLINK("https://docs.wto.org/imrd/directdoc.asp?DDFDocuments/t/G/SPS/NEU61A1.DOC")</f>
        <v>https://docs.wto.org/imrd/directdoc.asp?DDFDocuments/t/G/SPS/NEU61A1.DOC</v>
      </c>
      <c r="L1592" s="2" t="str">
        <f>HYPERLINK("https://docs.wto.org/imrd/directdoc.asp?DDFDocuments/u/G/SPS/NEU61A1.DOC")</f>
        <v>https://docs.wto.org/imrd/directdoc.asp?DDFDocuments/u/G/SPS/NEU61A1.DOC</v>
      </c>
      <c r="M1592" s="2" t="str">
        <f>HYPERLINK("https://docs.wto.org/imrd/directdoc.asp?DDFDocuments/v/G/SPS/NEU61A1.DOC")</f>
        <v>https://docs.wto.org/imrd/directdoc.asp?DDFDocuments/v/G/SPS/NEU61A1.DOC</v>
      </c>
      <c r="N1592" s="2" t="str">
        <f>HYPERLINK("http://www.epingalert.org/#/details/G/SPS/N/EU/61/Add.1")</f>
        <v>http://www.epingalert.org/#/details/G/SPS/N/EU/61/Add.1</v>
      </c>
      <c r="O1592" s="2"/>
    </row>
    <row r="1593" spans="1:15" ht="240" customHeight="1" outlineLevel="1" x14ac:dyDescent="0.25">
      <c r="A1593" s="2" t="s">
        <v>115</v>
      </c>
      <c r="B1593" s="2" t="s">
        <v>8333</v>
      </c>
      <c r="C1593" s="2" t="s">
        <v>8334</v>
      </c>
      <c r="D1593" s="2" t="s">
        <v>8335</v>
      </c>
      <c r="E1593" s="3">
        <v>41835</v>
      </c>
      <c r="F1593" s="2" t="s">
        <v>8336</v>
      </c>
      <c r="G1593" s="2" t="s">
        <v>8337</v>
      </c>
      <c r="H1593" s="2" t="s">
        <v>2573</v>
      </c>
      <c r="I1593" s="2" t="s">
        <v>7026</v>
      </c>
      <c r="J1593" s="2"/>
      <c r="K1593" s="2" t="str">
        <f>HYPERLINK("https://docs.wto.org/imrd/directdoc.asp?DDFDocuments/t/G/SPS/NJPN353.DOC")</f>
        <v>https://docs.wto.org/imrd/directdoc.asp?DDFDocuments/t/G/SPS/NJPN353.DOC</v>
      </c>
      <c r="L1593" s="2" t="str">
        <f>HYPERLINK("https://docs.wto.org/imrd/directdoc.asp?DDFDocuments/u/G/SPS/NJPN353.DOC")</f>
        <v>https://docs.wto.org/imrd/directdoc.asp?DDFDocuments/u/G/SPS/NJPN353.DOC</v>
      </c>
      <c r="M1593" s="2" t="str">
        <f>HYPERLINK("https://docs.wto.org/imrd/directdoc.asp?DDFDocuments/v/G/SPS/NJPN353.DOC")</f>
        <v>https://docs.wto.org/imrd/directdoc.asp?DDFDocuments/v/G/SPS/NJPN353.DOC</v>
      </c>
      <c r="N1593" s="2" t="str">
        <f>HYPERLINK("http://www.epingalert.org/#/details/G/SPS/N/JPN/353")</f>
        <v>http://www.epingalert.org/#/details/G/SPS/N/JPN/353</v>
      </c>
      <c r="O1593" s="2"/>
    </row>
    <row r="1594" spans="1:15" ht="240" customHeight="1" outlineLevel="1" x14ac:dyDescent="0.25">
      <c r="A1594" s="2" t="s">
        <v>77</v>
      </c>
      <c r="B1594" s="2" t="s">
        <v>8338</v>
      </c>
      <c r="C1594" s="2" t="s">
        <v>8339</v>
      </c>
      <c r="D1594" s="2" t="s">
        <v>8340</v>
      </c>
      <c r="E1594" s="3">
        <v>41835</v>
      </c>
      <c r="F1594" s="2" t="s">
        <v>8241</v>
      </c>
      <c r="G1594" s="2" t="s">
        <v>8341</v>
      </c>
      <c r="H1594" s="2"/>
      <c r="I1594" s="2" t="s">
        <v>2713</v>
      </c>
      <c r="J1594" s="2"/>
      <c r="K1594" s="2" t="str">
        <f>HYPERLINK("https://docs.wto.org/imrd/directdoc.asp?DDFDocuments/t/G/SPS/NTPKM318.DOC")</f>
        <v>https://docs.wto.org/imrd/directdoc.asp?DDFDocuments/t/G/SPS/NTPKM318.DOC</v>
      </c>
      <c r="L1594" s="2" t="str">
        <f>HYPERLINK("https://docs.wto.org/imrd/directdoc.asp?DDFDocuments/u/G/SPS/NTPKM318.DOC")</f>
        <v>https://docs.wto.org/imrd/directdoc.asp?DDFDocuments/u/G/SPS/NTPKM318.DOC</v>
      </c>
      <c r="M1594" s="2" t="str">
        <f>HYPERLINK("https://docs.wto.org/imrd/directdoc.asp?DDFDocuments/v/G/SPS/NTPKM318.DOC")</f>
        <v>https://docs.wto.org/imrd/directdoc.asp?DDFDocuments/v/G/SPS/NTPKM318.DOC</v>
      </c>
      <c r="N1594" s="2" t="str">
        <f>HYPERLINK("http://www.epingalert.org/#/details/G/SPS/N/TPKM/318")</f>
        <v>http://www.epingalert.org/#/details/G/SPS/N/TPKM/318</v>
      </c>
      <c r="O1594" s="2"/>
    </row>
    <row r="1595" spans="1:15" ht="240" customHeight="1" outlineLevel="1" x14ac:dyDescent="0.25">
      <c r="A1595" s="2" t="s">
        <v>184</v>
      </c>
      <c r="B1595" s="2" t="s">
        <v>8342</v>
      </c>
      <c r="C1595" s="2" t="s">
        <v>8343</v>
      </c>
      <c r="D1595" s="2" t="s">
        <v>8344</v>
      </c>
      <c r="E1595" s="3">
        <v>41834</v>
      </c>
      <c r="F1595" s="2" t="s">
        <v>8345</v>
      </c>
      <c r="G1595" s="2" t="s">
        <v>8346</v>
      </c>
      <c r="H1595" s="2" t="s">
        <v>2467</v>
      </c>
      <c r="I1595" s="2" t="s">
        <v>8347</v>
      </c>
      <c r="J1595" s="2"/>
      <c r="K1595" s="2" t="str">
        <f>HYPERLINK("https://docs.wto.org/imrd/directdoc.asp?DDFDocuments/t/G/SPS/NARE40.DOC")</f>
        <v>https://docs.wto.org/imrd/directdoc.asp?DDFDocuments/t/G/SPS/NARE40.DOC</v>
      </c>
      <c r="L1595" s="2" t="str">
        <f>HYPERLINK("https://docs.wto.org/imrd/directdoc.asp?DDFDocuments/u/G/SPS/NARE40.DOC")</f>
        <v>https://docs.wto.org/imrd/directdoc.asp?DDFDocuments/u/G/SPS/NARE40.DOC</v>
      </c>
      <c r="M1595" s="2" t="str">
        <f>HYPERLINK("https://docs.wto.org/imrd/directdoc.asp?DDFDocuments/v/G/SPS/NARE40.DOC")</f>
        <v>https://docs.wto.org/imrd/directdoc.asp?DDFDocuments/v/G/SPS/NARE40.DOC</v>
      </c>
      <c r="N1595" s="2" t="str">
        <f>HYPERLINK("http://www.epingalert.org/#/details/G/SPS/N/ARE/40")</f>
        <v>http://www.epingalert.org/#/details/G/SPS/N/ARE/40</v>
      </c>
      <c r="O1595" s="2"/>
    </row>
    <row r="1596" spans="1:15" ht="240" customHeight="1" outlineLevel="1" x14ac:dyDescent="0.25">
      <c r="A1596" s="2" t="s">
        <v>184</v>
      </c>
      <c r="B1596" s="2" t="s">
        <v>8348</v>
      </c>
      <c r="C1596" s="2" t="s">
        <v>8349</v>
      </c>
      <c r="D1596" s="2" t="s">
        <v>8350</v>
      </c>
      <c r="E1596" s="3">
        <v>41834</v>
      </c>
      <c r="F1596" s="2" t="s">
        <v>8351</v>
      </c>
      <c r="G1596" s="2" t="s">
        <v>8346</v>
      </c>
      <c r="H1596" s="2" t="s">
        <v>2454</v>
      </c>
      <c r="I1596" s="2" t="s">
        <v>8347</v>
      </c>
      <c r="J1596" s="2"/>
      <c r="K1596" s="2" t="str">
        <f>HYPERLINK("https://docs.wto.org/imrd/directdoc.asp?DDFDocuments/t/G/SPS/NARE39.DOC")</f>
        <v>https://docs.wto.org/imrd/directdoc.asp?DDFDocuments/t/G/SPS/NARE39.DOC</v>
      </c>
      <c r="L1596" s="2" t="str">
        <f>HYPERLINK("https://docs.wto.org/imrd/directdoc.asp?DDFDocuments/u/G/SPS/NARE39.DOC")</f>
        <v>https://docs.wto.org/imrd/directdoc.asp?DDFDocuments/u/G/SPS/NARE39.DOC</v>
      </c>
      <c r="M1596" s="2" t="str">
        <f>HYPERLINK("https://docs.wto.org/imrd/directdoc.asp?DDFDocuments/v/G/SPS/NARE39.DOC")</f>
        <v>https://docs.wto.org/imrd/directdoc.asp?DDFDocuments/v/G/SPS/NARE39.DOC</v>
      </c>
      <c r="N1596" s="2" t="str">
        <f>HYPERLINK("http://www.epingalert.org/#/details/G/SPS/N/ARE/39")</f>
        <v>http://www.epingalert.org/#/details/G/SPS/N/ARE/39</v>
      </c>
      <c r="O1596" s="2"/>
    </row>
    <row r="1597" spans="1:15" ht="240" customHeight="1" outlineLevel="1" x14ac:dyDescent="0.25">
      <c r="A1597" s="2" t="s">
        <v>184</v>
      </c>
      <c r="B1597" s="2" t="s">
        <v>8352</v>
      </c>
      <c r="C1597" s="2" t="s">
        <v>8353</v>
      </c>
      <c r="D1597" s="2" t="s">
        <v>8354</v>
      </c>
      <c r="E1597" s="3">
        <v>41834</v>
      </c>
      <c r="F1597" s="2" t="s">
        <v>8351</v>
      </c>
      <c r="G1597" s="2" t="s">
        <v>8346</v>
      </c>
      <c r="H1597" s="2" t="s">
        <v>2467</v>
      </c>
      <c r="I1597" s="2" t="s">
        <v>8347</v>
      </c>
      <c r="J1597" s="2"/>
      <c r="K1597" s="2" t="str">
        <f>HYPERLINK("https://docs.wto.org/imrd/directdoc.asp?DDFDocuments/t/G/SPS/NARE38.DOC")</f>
        <v>https://docs.wto.org/imrd/directdoc.asp?DDFDocuments/t/G/SPS/NARE38.DOC</v>
      </c>
      <c r="L1597" s="2" t="str">
        <f>HYPERLINK("https://docs.wto.org/imrd/directdoc.asp?DDFDocuments/u/G/SPS/NARE38.DOC")</f>
        <v>https://docs.wto.org/imrd/directdoc.asp?DDFDocuments/u/G/SPS/NARE38.DOC</v>
      </c>
      <c r="M1597" s="2" t="str">
        <f>HYPERLINK("https://docs.wto.org/imrd/directdoc.asp?DDFDocuments/v/G/SPS/NARE38.DOC")</f>
        <v>https://docs.wto.org/imrd/directdoc.asp?DDFDocuments/v/G/SPS/NARE38.DOC</v>
      </c>
      <c r="N1597" s="2" t="str">
        <f>HYPERLINK("http://www.epingalert.org/#/details/G/SPS/N/ARE/38")</f>
        <v>http://www.epingalert.org/#/details/G/SPS/N/ARE/38</v>
      </c>
      <c r="O1597" s="2"/>
    </row>
    <row r="1598" spans="1:15" ht="240" customHeight="1" outlineLevel="1" x14ac:dyDescent="0.25">
      <c r="A1598" s="2" t="s">
        <v>184</v>
      </c>
      <c r="B1598" s="2" t="s">
        <v>8355</v>
      </c>
      <c r="C1598" s="2" t="s">
        <v>8356</v>
      </c>
      <c r="D1598" s="2" t="s">
        <v>8357</v>
      </c>
      <c r="E1598" s="3">
        <v>41834</v>
      </c>
      <c r="F1598" s="2" t="s">
        <v>8351</v>
      </c>
      <c r="G1598" s="2" t="s">
        <v>8358</v>
      </c>
      <c r="H1598" s="2" t="s">
        <v>2467</v>
      </c>
      <c r="I1598" s="2" t="s">
        <v>8347</v>
      </c>
      <c r="J1598" s="2"/>
      <c r="K1598" s="2" t="str">
        <f>HYPERLINK("https://docs.wto.org/imrd/directdoc.asp?DDFDocuments/t/G/SPS/NARE37.DOC")</f>
        <v>https://docs.wto.org/imrd/directdoc.asp?DDFDocuments/t/G/SPS/NARE37.DOC</v>
      </c>
      <c r="L1598" s="2" t="str">
        <f>HYPERLINK("https://docs.wto.org/imrd/directdoc.asp?DDFDocuments/u/G/SPS/NARE37.DOC")</f>
        <v>https://docs.wto.org/imrd/directdoc.asp?DDFDocuments/u/G/SPS/NARE37.DOC</v>
      </c>
      <c r="M1598" s="2" t="str">
        <f>HYPERLINK("https://docs.wto.org/imrd/directdoc.asp?DDFDocuments/v/G/SPS/NARE37.DOC")</f>
        <v>https://docs.wto.org/imrd/directdoc.asp?DDFDocuments/v/G/SPS/NARE37.DOC</v>
      </c>
      <c r="N1598" s="2" t="str">
        <f>HYPERLINK("http://www.epingalert.org/#/details/G/SPS/N/ARE/37")</f>
        <v>http://www.epingalert.org/#/details/G/SPS/N/ARE/37</v>
      </c>
      <c r="O1598" s="2"/>
    </row>
    <row r="1599" spans="1:15" ht="240" customHeight="1" outlineLevel="1" x14ac:dyDescent="0.25">
      <c r="A1599" s="2" t="s">
        <v>184</v>
      </c>
      <c r="B1599" s="2" t="s">
        <v>8359</v>
      </c>
      <c r="C1599" s="2" t="s">
        <v>8360</v>
      </c>
      <c r="D1599" s="2" t="s">
        <v>8361</v>
      </c>
      <c r="E1599" s="3">
        <v>41834</v>
      </c>
      <c r="F1599" s="2" t="s">
        <v>8351</v>
      </c>
      <c r="G1599" s="2" t="s">
        <v>8346</v>
      </c>
      <c r="H1599" s="2" t="s">
        <v>2467</v>
      </c>
      <c r="I1599" s="2" t="s">
        <v>8347</v>
      </c>
      <c r="J1599" s="2"/>
      <c r="K1599" s="2" t="str">
        <f>HYPERLINK("https://docs.wto.org/imrd/directdoc.asp?DDFDocuments/t/G/SPS/NARE36.DOC")</f>
        <v>https://docs.wto.org/imrd/directdoc.asp?DDFDocuments/t/G/SPS/NARE36.DOC</v>
      </c>
      <c r="L1599" s="2" t="str">
        <f>HYPERLINK("https://docs.wto.org/imrd/directdoc.asp?DDFDocuments/u/G/SPS/NARE36.DOC")</f>
        <v>https://docs.wto.org/imrd/directdoc.asp?DDFDocuments/u/G/SPS/NARE36.DOC</v>
      </c>
      <c r="M1599" s="2" t="str">
        <f>HYPERLINK("https://docs.wto.org/imrd/directdoc.asp?DDFDocuments/v/G/SPS/NARE36.DOC")</f>
        <v>https://docs.wto.org/imrd/directdoc.asp?DDFDocuments/v/G/SPS/NARE36.DOC</v>
      </c>
      <c r="N1599" s="2" t="str">
        <f>HYPERLINK("http://www.epingalert.org/#/details/G/SPS/N/ARE/36")</f>
        <v>http://www.epingalert.org/#/details/G/SPS/N/ARE/36</v>
      </c>
      <c r="O1599" s="2"/>
    </row>
    <row r="1600" spans="1:15" ht="240" customHeight="1" outlineLevel="1" x14ac:dyDescent="0.25">
      <c r="A1600" s="2" t="s">
        <v>184</v>
      </c>
      <c r="B1600" s="2" t="s">
        <v>8362</v>
      </c>
      <c r="C1600" s="2" t="s">
        <v>8363</v>
      </c>
      <c r="D1600" s="2" t="s">
        <v>8364</v>
      </c>
      <c r="E1600" s="3">
        <v>41834</v>
      </c>
      <c r="F1600" s="2" t="s">
        <v>8351</v>
      </c>
      <c r="G1600" s="2" t="s">
        <v>8358</v>
      </c>
      <c r="H1600" s="2" t="s">
        <v>2467</v>
      </c>
      <c r="I1600" s="2" t="s">
        <v>8347</v>
      </c>
      <c r="J1600" s="2"/>
      <c r="K1600" s="2" t="str">
        <f>HYPERLINK("https://docs.wto.org/imrd/directdoc.asp?DDFDocuments/t/G/SPS/NARE35.DOC")</f>
        <v>https://docs.wto.org/imrd/directdoc.asp?DDFDocuments/t/G/SPS/NARE35.DOC</v>
      </c>
      <c r="L1600" s="2" t="str">
        <f>HYPERLINK("https://docs.wto.org/imrd/directdoc.asp?DDFDocuments/u/G/SPS/NARE35.DOC")</f>
        <v>https://docs.wto.org/imrd/directdoc.asp?DDFDocuments/u/G/SPS/NARE35.DOC</v>
      </c>
      <c r="M1600" s="2" t="str">
        <f>HYPERLINK("https://docs.wto.org/imrd/directdoc.asp?DDFDocuments/v/G/SPS/NARE35.DOC")</f>
        <v>https://docs.wto.org/imrd/directdoc.asp?DDFDocuments/v/G/SPS/NARE35.DOC</v>
      </c>
      <c r="N1600" s="2" t="str">
        <f>HYPERLINK("http://www.epingalert.org/#/details/G/SPS/N/ARE/35")</f>
        <v>http://www.epingalert.org/#/details/G/SPS/N/ARE/35</v>
      </c>
      <c r="O1600" s="2"/>
    </row>
    <row r="1601" spans="1:15" ht="240" customHeight="1" outlineLevel="1" x14ac:dyDescent="0.25">
      <c r="A1601" s="2" t="s">
        <v>184</v>
      </c>
      <c r="B1601" s="2" t="s">
        <v>8365</v>
      </c>
      <c r="C1601" s="2" t="s">
        <v>8366</v>
      </c>
      <c r="D1601" s="2" t="s">
        <v>8367</v>
      </c>
      <c r="E1601" s="3">
        <v>41834</v>
      </c>
      <c r="F1601" s="2" t="s">
        <v>8351</v>
      </c>
      <c r="G1601" s="2" t="s">
        <v>8346</v>
      </c>
      <c r="H1601" s="2" t="s">
        <v>2467</v>
      </c>
      <c r="I1601" s="2" t="s">
        <v>8347</v>
      </c>
      <c r="J1601" s="2"/>
      <c r="K1601" s="2" t="str">
        <f>HYPERLINK("https://docs.wto.org/imrd/directdoc.asp?DDFDocuments/t/G/SPS/NARE34.DOC")</f>
        <v>https://docs.wto.org/imrd/directdoc.asp?DDFDocuments/t/G/SPS/NARE34.DOC</v>
      </c>
      <c r="L1601" s="2" t="str">
        <f>HYPERLINK("https://docs.wto.org/imrd/directdoc.asp?DDFDocuments/u/G/SPS/NARE34.DOC")</f>
        <v>https://docs.wto.org/imrd/directdoc.asp?DDFDocuments/u/G/SPS/NARE34.DOC</v>
      </c>
      <c r="M1601" s="2" t="str">
        <f>HYPERLINK("https://docs.wto.org/imrd/directdoc.asp?DDFDocuments/v/G/SPS/NARE34.DOC")</f>
        <v>https://docs.wto.org/imrd/directdoc.asp?DDFDocuments/v/G/SPS/NARE34.DOC</v>
      </c>
      <c r="N1601" s="2" t="str">
        <f>HYPERLINK("http://www.epingalert.org/#/details/G/SPS/N/ARE/34")</f>
        <v>http://www.epingalert.org/#/details/G/SPS/N/ARE/34</v>
      </c>
      <c r="O1601" s="2"/>
    </row>
    <row r="1602" spans="1:15" ht="240" customHeight="1" outlineLevel="1" x14ac:dyDescent="0.25">
      <c r="A1602" s="2" t="s">
        <v>77</v>
      </c>
      <c r="B1602" s="2" t="s">
        <v>5958</v>
      </c>
      <c r="C1602" s="2"/>
      <c r="D1602" s="2"/>
      <c r="E1602" s="3">
        <v>41831</v>
      </c>
      <c r="F1602" s="2" t="s">
        <v>5959</v>
      </c>
      <c r="G1602" s="2" t="s">
        <v>2790</v>
      </c>
      <c r="H1602" s="2" t="s">
        <v>2573</v>
      </c>
      <c r="I1602" s="2" t="s">
        <v>2444</v>
      </c>
      <c r="J1602" s="2"/>
      <c r="K1602" s="2" t="str">
        <f>HYPERLINK("https://docs.wto.org/imrd/directdoc.asp?DDFDocuments/t/G/SPS/NTPKM312A1.DOC")</f>
        <v>https://docs.wto.org/imrd/directdoc.asp?DDFDocuments/t/G/SPS/NTPKM312A1.DOC</v>
      </c>
      <c r="L1602" s="2" t="str">
        <f>HYPERLINK("https://docs.wto.org/imrd/directdoc.asp?DDFDocuments/u/G/SPS/NTPKM312A1.DOC")</f>
        <v>https://docs.wto.org/imrd/directdoc.asp?DDFDocuments/u/G/SPS/NTPKM312A1.DOC</v>
      </c>
      <c r="M1602" s="2" t="str">
        <f>HYPERLINK("https://docs.wto.org/imrd/directdoc.asp?DDFDocuments/v/G/SPS/NTPKM312A1.DOC")</f>
        <v>https://docs.wto.org/imrd/directdoc.asp?DDFDocuments/v/G/SPS/NTPKM312A1.DOC</v>
      </c>
      <c r="N1602" s="2" t="str">
        <f>HYPERLINK("http://www.epingalert.org/#/details/G/SPS/N/TPKM/312/Add.1")</f>
        <v>http://www.epingalert.org/#/details/G/SPS/N/TPKM/312/Add.1</v>
      </c>
      <c r="O1602" s="2"/>
    </row>
    <row r="1603" spans="1:15" ht="240" customHeight="1" outlineLevel="1" x14ac:dyDescent="0.25">
      <c r="A1603" s="2" t="s">
        <v>173</v>
      </c>
      <c r="B1603" s="2" t="s">
        <v>8368</v>
      </c>
      <c r="C1603" s="2" t="s">
        <v>8369</v>
      </c>
      <c r="D1603" s="2" t="s">
        <v>1074</v>
      </c>
      <c r="E1603" s="3">
        <v>41830</v>
      </c>
      <c r="F1603" s="2" t="s">
        <v>8370</v>
      </c>
      <c r="G1603" s="2" t="s">
        <v>7478</v>
      </c>
      <c r="H1603" s="2" t="s">
        <v>2573</v>
      </c>
      <c r="I1603" s="2" t="s">
        <v>2461</v>
      </c>
      <c r="J1603" s="3">
        <v>41890</v>
      </c>
      <c r="K1603" s="2" t="str">
        <f>HYPERLINK("https://docs.wto.org/imrd/directdoc.asp?DDFDocuments/t/G/SPS/NSAU111.DOC")</f>
        <v>https://docs.wto.org/imrd/directdoc.asp?DDFDocuments/t/G/SPS/NSAU111.DOC</v>
      </c>
      <c r="L1603" s="2" t="str">
        <f>HYPERLINK("https://docs.wto.org/imrd/directdoc.asp?DDFDocuments/u/G/SPS/NSAU111.DOC")</f>
        <v>https://docs.wto.org/imrd/directdoc.asp?DDFDocuments/u/G/SPS/NSAU111.DOC</v>
      </c>
      <c r="M1603" s="2" t="str">
        <f>HYPERLINK("https://docs.wto.org/imrd/directdoc.asp?DDFDocuments/v/G/SPS/NSAU111.DOC")</f>
        <v>https://docs.wto.org/imrd/directdoc.asp?DDFDocuments/v/G/SPS/NSAU111.DOC</v>
      </c>
      <c r="N1603" s="2" t="str">
        <f>HYPERLINK("http://www.epingalert.org/#/details/G/SPS/N/SAU/111")</f>
        <v>http://www.epingalert.org/#/details/G/SPS/N/SAU/111</v>
      </c>
      <c r="O1603" s="2"/>
    </row>
    <row r="1604" spans="1:15" ht="240" customHeight="1" outlineLevel="1" x14ac:dyDescent="0.25">
      <c r="A1604" s="2" t="s">
        <v>173</v>
      </c>
      <c r="B1604" s="2" t="s">
        <v>8371</v>
      </c>
      <c r="C1604" s="2" t="s">
        <v>8372</v>
      </c>
      <c r="D1604" s="2" t="s">
        <v>1078</v>
      </c>
      <c r="E1604" s="3">
        <v>41830</v>
      </c>
      <c r="F1604" s="2" t="s">
        <v>8373</v>
      </c>
      <c r="G1604" s="2" t="s">
        <v>7334</v>
      </c>
      <c r="H1604" s="2" t="s">
        <v>2573</v>
      </c>
      <c r="I1604" s="2" t="s">
        <v>2461</v>
      </c>
      <c r="J1604" s="3">
        <v>41890</v>
      </c>
      <c r="K1604" s="2" t="str">
        <f>HYPERLINK("https://docs.wto.org/imrd/directdoc.asp?DDFDocuments/t/G/SPS/NSAU110.DOC")</f>
        <v>https://docs.wto.org/imrd/directdoc.asp?DDFDocuments/t/G/SPS/NSAU110.DOC</v>
      </c>
      <c r="L1604" s="2" t="str">
        <f>HYPERLINK("https://docs.wto.org/imrd/directdoc.asp?DDFDocuments/u/G/SPS/NSAU110.DOC")</f>
        <v>https://docs.wto.org/imrd/directdoc.asp?DDFDocuments/u/G/SPS/NSAU110.DOC</v>
      </c>
      <c r="M1604" s="2" t="str">
        <f>HYPERLINK("https://docs.wto.org/imrd/directdoc.asp?DDFDocuments/v/G/SPS/NSAU110.DOC")</f>
        <v>https://docs.wto.org/imrd/directdoc.asp?DDFDocuments/v/G/SPS/NSAU110.DOC</v>
      </c>
      <c r="N1604" s="2" t="str">
        <f>HYPERLINK("http://www.epingalert.org/#/details/G/SPS/N/SAU/110")</f>
        <v>http://www.epingalert.org/#/details/G/SPS/N/SAU/110</v>
      </c>
      <c r="O1604" s="2"/>
    </row>
    <row r="1605" spans="1:15" ht="240" customHeight="1" outlineLevel="1" x14ac:dyDescent="0.25">
      <c r="A1605" s="2" t="s">
        <v>173</v>
      </c>
      <c r="B1605" s="2" t="s">
        <v>8374</v>
      </c>
      <c r="C1605" s="2" t="s">
        <v>8375</v>
      </c>
      <c r="D1605" s="2" t="s">
        <v>8376</v>
      </c>
      <c r="E1605" s="3">
        <v>41830</v>
      </c>
      <c r="F1605" s="2" t="s">
        <v>8377</v>
      </c>
      <c r="G1605" s="2" t="s">
        <v>1968</v>
      </c>
      <c r="H1605" s="2" t="s">
        <v>2573</v>
      </c>
      <c r="I1605" s="2" t="s">
        <v>6549</v>
      </c>
      <c r="J1605" s="3">
        <v>41890</v>
      </c>
      <c r="K1605" s="2" t="str">
        <f>HYPERLINK("https://docs.wto.org/imrd/directdoc.asp?DDFDocuments/t/G/SPS/NSAU108.DOC")</f>
        <v>https://docs.wto.org/imrd/directdoc.asp?DDFDocuments/t/G/SPS/NSAU108.DOC</v>
      </c>
      <c r="L1605" s="2" t="str">
        <f>HYPERLINK("https://docs.wto.org/imrd/directdoc.asp?DDFDocuments/u/G/SPS/NSAU108.DOC")</f>
        <v>https://docs.wto.org/imrd/directdoc.asp?DDFDocuments/u/G/SPS/NSAU108.DOC</v>
      </c>
      <c r="M1605" s="2" t="str">
        <f>HYPERLINK("https://docs.wto.org/imrd/directdoc.asp?DDFDocuments/v/G/SPS/NSAU108.DOC")</f>
        <v>https://docs.wto.org/imrd/directdoc.asp?DDFDocuments/v/G/SPS/NSAU108.DOC</v>
      </c>
      <c r="N1605" s="2" t="str">
        <f>HYPERLINK("http://www.epingalert.org/#/details/G/SPS/N/SAU/108")</f>
        <v>http://www.epingalert.org/#/details/G/SPS/N/SAU/108</v>
      </c>
      <c r="O1605" s="2"/>
    </row>
    <row r="1606" spans="1:15" ht="240" customHeight="1" outlineLevel="1" x14ac:dyDescent="0.25">
      <c r="A1606" s="2" t="s">
        <v>173</v>
      </c>
      <c r="B1606" s="2" t="s">
        <v>8378</v>
      </c>
      <c r="C1606" s="2" t="s">
        <v>8379</v>
      </c>
      <c r="D1606" s="2" t="s">
        <v>1059</v>
      </c>
      <c r="E1606" s="3">
        <v>41830</v>
      </c>
      <c r="F1606" s="2" t="s">
        <v>8380</v>
      </c>
      <c r="G1606" s="2" t="s">
        <v>8381</v>
      </c>
      <c r="H1606" s="2" t="s">
        <v>2573</v>
      </c>
      <c r="I1606" s="2" t="s">
        <v>2461</v>
      </c>
      <c r="J1606" s="3">
        <v>41890</v>
      </c>
      <c r="K1606" s="2" t="str">
        <f>HYPERLINK("https://docs.wto.org/imrd/directdoc.asp?DDFDocuments/t/G/SPS/NSAU116.DOC")</f>
        <v>https://docs.wto.org/imrd/directdoc.asp?DDFDocuments/t/G/SPS/NSAU116.DOC</v>
      </c>
      <c r="L1606" s="2" t="str">
        <f>HYPERLINK("https://docs.wto.org/imrd/directdoc.asp?DDFDocuments/u/G/SPS/NSAU116.DOC")</f>
        <v>https://docs.wto.org/imrd/directdoc.asp?DDFDocuments/u/G/SPS/NSAU116.DOC</v>
      </c>
      <c r="M1606" s="2" t="str">
        <f>HYPERLINK("https://docs.wto.org/imrd/directdoc.asp?DDFDocuments/v/G/SPS/NSAU116.DOC")</f>
        <v>https://docs.wto.org/imrd/directdoc.asp?DDFDocuments/v/G/SPS/NSAU116.DOC</v>
      </c>
      <c r="N1606" s="2" t="str">
        <f>HYPERLINK("http://www.epingalert.org/#/details/G/SPS/N/SAU/116")</f>
        <v>http://www.epingalert.org/#/details/G/SPS/N/SAU/116</v>
      </c>
      <c r="O1606" s="2"/>
    </row>
    <row r="1607" spans="1:15" ht="240" customHeight="1" outlineLevel="1" x14ac:dyDescent="0.25">
      <c r="A1607" s="2" t="s">
        <v>173</v>
      </c>
      <c r="B1607" s="2" t="s">
        <v>8382</v>
      </c>
      <c r="C1607" s="2" t="s">
        <v>8383</v>
      </c>
      <c r="D1607" s="2" t="s">
        <v>1055</v>
      </c>
      <c r="E1607" s="3">
        <v>41830</v>
      </c>
      <c r="F1607" s="2" t="s">
        <v>8384</v>
      </c>
      <c r="G1607" s="2" t="s">
        <v>8385</v>
      </c>
      <c r="H1607" s="2" t="s">
        <v>2573</v>
      </c>
      <c r="I1607" s="2" t="s">
        <v>2461</v>
      </c>
      <c r="J1607" s="3">
        <v>41890</v>
      </c>
      <c r="K1607" s="2" t="str">
        <f>HYPERLINK("https://docs.wto.org/imrd/directdoc.asp?DDFDocuments/t/G/SPS/NSAU115.DOC")</f>
        <v>https://docs.wto.org/imrd/directdoc.asp?DDFDocuments/t/G/SPS/NSAU115.DOC</v>
      </c>
      <c r="L1607" s="2" t="str">
        <f>HYPERLINK("https://docs.wto.org/imrd/directdoc.asp?DDFDocuments/u/G/SPS/NSAU115.DOC")</f>
        <v>https://docs.wto.org/imrd/directdoc.asp?DDFDocuments/u/G/SPS/NSAU115.DOC</v>
      </c>
      <c r="M1607" s="2" t="str">
        <f>HYPERLINK("https://docs.wto.org/imrd/directdoc.asp?DDFDocuments/v/G/SPS/NSAU115.DOC")</f>
        <v>https://docs.wto.org/imrd/directdoc.asp?DDFDocuments/v/G/SPS/NSAU115.DOC</v>
      </c>
      <c r="N1607" s="2" t="str">
        <f>HYPERLINK("http://www.epingalert.org/#/details/G/SPS/N/SAU/115")</f>
        <v>http://www.epingalert.org/#/details/G/SPS/N/SAU/115</v>
      </c>
      <c r="O1607" s="2"/>
    </row>
    <row r="1608" spans="1:15" ht="240" customHeight="1" outlineLevel="1" x14ac:dyDescent="0.25">
      <c r="A1608" s="2" t="s">
        <v>173</v>
      </c>
      <c r="B1608" s="2" t="s">
        <v>8386</v>
      </c>
      <c r="C1608" s="2" t="s">
        <v>8387</v>
      </c>
      <c r="D1608" s="2" t="s">
        <v>1067</v>
      </c>
      <c r="E1608" s="3">
        <v>41830</v>
      </c>
      <c r="F1608" s="2" t="s">
        <v>8388</v>
      </c>
      <c r="G1608" s="2" t="s">
        <v>1851</v>
      </c>
      <c r="H1608" s="2" t="s">
        <v>2573</v>
      </c>
      <c r="I1608" s="2" t="s">
        <v>2461</v>
      </c>
      <c r="J1608" s="3">
        <v>41890</v>
      </c>
      <c r="K1608" s="2" t="str">
        <f>HYPERLINK("https://docs.wto.org/imrd/directdoc.asp?DDFDocuments/t/G/SPS/NSAU114.DOC")</f>
        <v>https://docs.wto.org/imrd/directdoc.asp?DDFDocuments/t/G/SPS/NSAU114.DOC</v>
      </c>
      <c r="L1608" s="2" t="str">
        <f>HYPERLINK("https://docs.wto.org/imrd/directdoc.asp?DDFDocuments/u/G/SPS/NSAU114.DOC")</f>
        <v>https://docs.wto.org/imrd/directdoc.asp?DDFDocuments/u/G/SPS/NSAU114.DOC</v>
      </c>
      <c r="M1608" s="2" t="str">
        <f>HYPERLINK("https://docs.wto.org/imrd/directdoc.asp?DDFDocuments/v/G/SPS/NSAU114.DOC")</f>
        <v>https://docs.wto.org/imrd/directdoc.asp?DDFDocuments/v/G/SPS/NSAU114.DOC</v>
      </c>
      <c r="N1608" s="2" t="str">
        <f>HYPERLINK("http://www.epingalert.org/#/details/G/SPS/N/SAU/114")</f>
        <v>http://www.epingalert.org/#/details/G/SPS/N/SAU/114</v>
      </c>
      <c r="O1608" s="2"/>
    </row>
    <row r="1609" spans="1:15" ht="240" customHeight="1" outlineLevel="1" x14ac:dyDescent="0.25">
      <c r="A1609" s="2" t="s">
        <v>173</v>
      </c>
      <c r="B1609" s="2" t="s">
        <v>8389</v>
      </c>
      <c r="C1609" s="2" t="s">
        <v>8390</v>
      </c>
      <c r="D1609" s="2" t="s">
        <v>1070</v>
      </c>
      <c r="E1609" s="3">
        <v>41830</v>
      </c>
      <c r="F1609" s="2" t="s">
        <v>8391</v>
      </c>
      <c r="G1609" s="2" t="s">
        <v>8392</v>
      </c>
      <c r="H1609" s="2" t="s">
        <v>2573</v>
      </c>
      <c r="I1609" s="2" t="s">
        <v>2461</v>
      </c>
      <c r="J1609" s="3">
        <v>41890</v>
      </c>
      <c r="K1609" s="2" t="str">
        <f>HYPERLINK("https://docs.wto.org/imrd/directdoc.asp?DDFDocuments/t/G/SPS/NSAU112.DOC")</f>
        <v>https://docs.wto.org/imrd/directdoc.asp?DDFDocuments/t/G/SPS/NSAU112.DOC</v>
      </c>
      <c r="L1609" s="2" t="str">
        <f>HYPERLINK("https://docs.wto.org/imrd/directdoc.asp?DDFDocuments/u/G/SPS/NSAU112.DOC")</f>
        <v>https://docs.wto.org/imrd/directdoc.asp?DDFDocuments/u/G/SPS/NSAU112.DOC</v>
      </c>
      <c r="M1609" s="2" t="str">
        <f>HYPERLINK("https://docs.wto.org/imrd/directdoc.asp?DDFDocuments/v/G/SPS/NSAU112.DOC")</f>
        <v>https://docs.wto.org/imrd/directdoc.asp?DDFDocuments/v/G/SPS/NSAU112.DOC</v>
      </c>
      <c r="N1609" s="2" t="str">
        <f>HYPERLINK("http://www.epingalert.org/#/details/G/SPS/N/SAU/112")</f>
        <v>http://www.epingalert.org/#/details/G/SPS/N/SAU/112</v>
      </c>
      <c r="O1609" s="2"/>
    </row>
    <row r="1610" spans="1:15" ht="240" customHeight="1" outlineLevel="1" x14ac:dyDescent="0.25">
      <c r="A1610" s="2" t="s">
        <v>12</v>
      </c>
      <c r="B1610" s="2" t="s">
        <v>5960</v>
      </c>
      <c r="C1610" s="2"/>
      <c r="D1610" s="2"/>
      <c r="E1610" s="3">
        <v>41829</v>
      </c>
      <c r="F1610" s="2" t="s">
        <v>2451</v>
      </c>
      <c r="G1610" s="2"/>
      <c r="H1610" s="2" t="s">
        <v>2573</v>
      </c>
      <c r="I1610" s="2" t="s">
        <v>2444</v>
      </c>
      <c r="J1610" s="2"/>
      <c r="K1610" s="2" t="str">
        <f>HYPERLINK("https://docs.wto.org/imrd/directdoc.asp?DDFDocuments/t/G/SPS/NEU54A1.DOC")</f>
        <v>https://docs.wto.org/imrd/directdoc.asp?DDFDocuments/t/G/SPS/NEU54A1.DOC</v>
      </c>
      <c r="L1610" s="2" t="str">
        <f>HYPERLINK("https://docs.wto.org/imrd/directdoc.asp?DDFDocuments/u/G/SPS/NEU54A1.DOC")</f>
        <v>https://docs.wto.org/imrd/directdoc.asp?DDFDocuments/u/G/SPS/NEU54A1.DOC</v>
      </c>
      <c r="M1610" s="2" t="str">
        <f>HYPERLINK("https://docs.wto.org/imrd/directdoc.asp?DDFDocuments/v/G/SPS/NEU54A1.DOC")</f>
        <v>https://docs.wto.org/imrd/directdoc.asp?DDFDocuments/v/G/SPS/NEU54A1.DOC</v>
      </c>
      <c r="N1610" s="2" t="str">
        <f>HYPERLINK("http://www.epingalert.org/#/details/G/SPS/N/EU/54/Add.1")</f>
        <v>http://www.epingalert.org/#/details/G/SPS/N/EU/54/Add.1</v>
      </c>
      <c r="O1610" s="2"/>
    </row>
    <row r="1611" spans="1:15" ht="240" customHeight="1" outlineLevel="1" x14ac:dyDescent="0.25">
      <c r="A1611" s="2" t="s">
        <v>25</v>
      </c>
      <c r="B1611" s="2" t="s">
        <v>5961</v>
      </c>
      <c r="C1611" s="2" t="s">
        <v>5962</v>
      </c>
      <c r="D1611" s="2" t="s">
        <v>5963</v>
      </c>
      <c r="E1611" s="3">
        <v>41827</v>
      </c>
      <c r="F1611" s="2" t="s">
        <v>5964</v>
      </c>
      <c r="G1611" s="2"/>
      <c r="H1611" s="2" t="s">
        <v>2573</v>
      </c>
      <c r="I1611" s="2" t="s">
        <v>2558</v>
      </c>
      <c r="J1611" s="3">
        <v>41887</v>
      </c>
      <c r="K1611" s="2" t="str">
        <f>HYPERLINK("https://docs.wto.org/imrd/directdoc.asp?DDFDocuments/t/G/SPS/NKOR478.DOC")</f>
        <v>https://docs.wto.org/imrd/directdoc.asp?DDFDocuments/t/G/SPS/NKOR478.DOC</v>
      </c>
      <c r="L1611" s="2" t="str">
        <f>HYPERLINK("https://docs.wto.org/imrd/directdoc.asp?DDFDocuments/u/G/SPS/NKOR478.DOC")</f>
        <v>https://docs.wto.org/imrd/directdoc.asp?DDFDocuments/u/G/SPS/NKOR478.DOC</v>
      </c>
      <c r="M1611" s="2" t="str">
        <f>HYPERLINK("https://docs.wto.org/imrd/directdoc.asp?DDFDocuments/v/G/SPS/NKOR478.DOC")</f>
        <v>https://docs.wto.org/imrd/directdoc.asp?DDFDocuments/v/G/SPS/NKOR478.DOC</v>
      </c>
      <c r="N1611" s="2" t="str">
        <f>HYPERLINK("http://www.epingalert.org/#/details/G/SPS/N/KOR/478")</f>
        <v>http://www.epingalert.org/#/details/G/SPS/N/KOR/478</v>
      </c>
      <c r="O1611" s="2"/>
    </row>
    <row r="1612" spans="1:15" ht="240" customHeight="1" outlineLevel="1" x14ac:dyDescent="0.25">
      <c r="A1612" s="2" t="s">
        <v>12</v>
      </c>
      <c r="B1612" s="2" t="s">
        <v>8393</v>
      </c>
      <c r="C1612" s="2" t="s">
        <v>8394</v>
      </c>
      <c r="D1612" s="2" t="s">
        <v>8395</v>
      </c>
      <c r="E1612" s="3">
        <v>41827</v>
      </c>
      <c r="F1612" s="2" t="s">
        <v>8172</v>
      </c>
      <c r="G1612" s="2" t="s">
        <v>2399</v>
      </c>
      <c r="H1612" s="2" t="s">
        <v>2648</v>
      </c>
      <c r="I1612" s="2" t="s">
        <v>7296</v>
      </c>
      <c r="J1612" s="2"/>
      <c r="K1612" s="2" t="str">
        <f>HYPERLINK("https://docs.wto.org/imrd/directdoc.asp?DDFDocuments/t/G/SPS/NEU88.DOC")</f>
        <v>https://docs.wto.org/imrd/directdoc.asp?DDFDocuments/t/G/SPS/NEU88.DOC</v>
      </c>
      <c r="L1612" s="2" t="str">
        <f>HYPERLINK("https://docs.wto.org/imrd/directdoc.asp?DDFDocuments/u/G/SPS/NEU88.DOC")</f>
        <v>https://docs.wto.org/imrd/directdoc.asp?DDFDocuments/u/G/SPS/NEU88.DOC</v>
      </c>
      <c r="M1612" s="2" t="str">
        <f>HYPERLINK("https://docs.wto.org/imrd/directdoc.asp?DDFDocuments/v/G/SPS/NEU88.DOC")</f>
        <v>https://docs.wto.org/imrd/directdoc.asp?DDFDocuments/v/G/SPS/NEU88.DOC</v>
      </c>
      <c r="N1612" s="2" t="str">
        <f>HYPERLINK("http://www.epingalert.org/#/details/G/SPS/N/EU/88")</f>
        <v>http://www.epingalert.org/#/details/G/SPS/N/EU/88</v>
      </c>
      <c r="O1612" s="2"/>
    </row>
    <row r="1613" spans="1:15" ht="240" customHeight="1" outlineLevel="1" x14ac:dyDescent="0.25">
      <c r="A1613" s="2" t="s">
        <v>12</v>
      </c>
      <c r="B1613" s="2" t="s">
        <v>5965</v>
      </c>
      <c r="C1613" s="2" t="s">
        <v>5966</v>
      </c>
      <c r="D1613" s="2" t="s">
        <v>5967</v>
      </c>
      <c r="E1613" s="3">
        <v>41824</v>
      </c>
      <c r="F1613" s="2" t="s">
        <v>2451</v>
      </c>
      <c r="G1613" s="2" t="s">
        <v>5968</v>
      </c>
      <c r="H1613" s="2" t="s">
        <v>2573</v>
      </c>
      <c r="I1613" s="2" t="s">
        <v>2453</v>
      </c>
      <c r="J1613" s="3">
        <v>41884</v>
      </c>
      <c r="K1613" s="2" t="str">
        <f>HYPERLINK("https://docs.wto.org/imrd/directdoc.asp?DDFDocuments/t/G/SPS/NEU87.DOC")</f>
        <v>https://docs.wto.org/imrd/directdoc.asp?DDFDocuments/t/G/SPS/NEU87.DOC</v>
      </c>
      <c r="L1613" s="2" t="str">
        <f>HYPERLINK("https://docs.wto.org/imrd/directdoc.asp?DDFDocuments/u/G/SPS/NEU87.DOC")</f>
        <v>https://docs.wto.org/imrd/directdoc.asp?DDFDocuments/u/G/SPS/NEU87.DOC</v>
      </c>
      <c r="M1613" s="2" t="str">
        <f>HYPERLINK("https://docs.wto.org/imrd/directdoc.asp?DDFDocuments/v/G/SPS/NEU87.DOC")</f>
        <v>https://docs.wto.org/imrd/directdoc.asp?DDFDocuments/v/G/SPS/NEU87.DOC</v>
      </c>
      <c r="N1613" s="2" t="str">
        <f>HYPERLINK("http://www.epingalert.org/#/details/G/SPS/N/EU/87")</f>
        <v>http://www.epingalert.org/#/details/G/SPS/N/EU/87</v>
      </c>
      <c r="O1613" s="2"/>
    </row>
    <row r="1614" spans="1:15" ht="240" customHeight="1" outlineLevel="1" x14ac:dyDescent="0.25">
      <c r="A1614" s="2" t="s">
        <v>12</v>
      </c>
      <c r="B1614" s="2" t="s">
        <v>5969</v>
      </c>
      <c r="C1614" s="2" t="s">
        <v>5970</v>
      </c>
      <c r="D1614" s="2" t="s">
        <v>5971</v>
      </c>
      <c r="E1614" s="3">
        <v>41824</v>
      </c>
      <c r="F1614" s="2" t="s">
        <v>2451</v>
      </c>
      <c r="G1614" s="2" t="s">
        <v>5972</v>
      </c>
      <c r="H1614" s="2" t="s">
        <v>2573</v>
      </c>
      <c r="I1614" s="2" t="s">
        <v>2453</v>
      </c>
      <c r="J1614" s="3">
        <v>41884</v>
      </c>
      <c r="K1614" s="2" t="str">
        <f>HYPERLINK("https://docs.wto.org/imrd/directdoc.asp?DDFDocuments/t/G/SPS/NEU84.DOC")</f>
        <v>https://docs.wto.org/imrd/directdoc.asp?DDFDocuments/t/G/SPS/NEU84.DOC</v>
      </c>
      <c r="L1614" s="2" t="str">
        <f>HYPERLINK("https://docs.wto.org/imrd/directdoc.asp?DDFDocuments/u/G/SPS/NEU84.DOC")</f>
        <v>https://docs.wto.org/imrd/directdoc.asp?DDFDocuments/u/G/SPS/NEU84.DOC</v>
      </c>
      <c r="M1614" s="2" t="str">
        <f>HYPERLINK("https://docs.wto.org/imrd/directdoc.asp?DDFDocuments/v/G/SPS/NEU84.DOC")</f>
        <v>https://docs.wto.org/imrd/directdoc.asp?DDFDocuments/v/G/SPS/NEU84.DOC</v>
      </c>
      <c r="N1614" s="2" t="str">
        <f>HYPERLINK("http://www.epingalert.org/#/details/G/SPS/N/EU/84")</f>
        <v>http://www.epingalert.org/#/details/G/SPS/N/EU/84</v>
      </c>
      <c r="O1614" s="2"/>
    </row>
    <row r="1615" spans="1:15" ht="240" customHeight="1" outlineLevel="1" x14ac:dyDescent="0.25">
      <c r="A1615" s="2" t="s">
        <v>25</v>
      </c>
      <c r="B1615" s="2" t="s">
        <v>5973</v>
      </c>
      <c r="C1615" s="2" t="s">
        <v>5974</v>
      </c>
      <c r="D1615" s="2" t="s">
        <v>5975</v>
      </c>
      <c r="E1615" s="3">
        <v>41823</v>
      </c>
      <c r="F1615" s="2" t="s">
        <v>5976</v>
      </c>
      <c r="G1615" s="2"/>
      <c r="H1615" s="2" t="s">
        <v>2573</v>
      </c>
      <c r="I1615" s="2" t="s">
        <v>2801</v>
      </c>
      <c r="J1615" s="3">
        <v>41883</v>
      </c>
      <c r="K1615" s="2" t="str">
        <f>HYPERLINK("https://docs.wto.org/imrd/directdoc.asp?DDFDocuments/t/G/SPS/NKOR477.DOC")</f>
        <v>https://docs.wto.org/imrd/directdoc.asp?DDFDocuments/t/G/SPS/NKOR477.DOC</v>
      </c>
      <c r="L1615" s="2" t="str">
        <f>HYPERLINK("https://docs.wto.org/imrd/directdoc.asp?DDFDocuments/u/G/SPS/NKOR477.DOC")</f>
        <v>https://docs.wto.org/imrd/directdoc.asp?DDFDocuments/u/G/SPS/NKOR477.DOC</v>
      </c>
      <c r="M1615" s="2" t="str">
        <f>HYPERLINK("https://docs.wto.org/imrd/directdoc.asp?DDFDocuments/v/G/SPS/NKOR477.DOC")</f>
        <v>https://docs.wto.org/imrd/directdoc.asp?DDFDocuments/v/G/SPS/NKOR477.DOC</v>
      </c>
      <c r="N1615" s="2" t="str">
        <f>HYPERLINK("http://www.epingalert.org/#/details/G/SPS/N/KOR/477")</f>
        <v>http://www.epingalert.org/#/details/G/SPS/N/KOR/477</v>
      </c>
      <c r="O1615" s="2"/>
    </row>
    <row r="1616" spans="1:15" ht="240" customHeight="1" outlineLevel="1" x14ac:dyDescent="0.25">
      <c r="A1616" s="2" t="s">
        <v>25</v>
      </c>
      <c r="B1616" s="2" t="s">
        <v>5977</v>
      </c>
      <c r="C1616" s="2" t="s">
        <v>5978</v>
      </c>
      <c r="D1616" s="2" t="s">
        <v>5979</v>
      </c>
      <c r="E1616" s="3">
        <v>41822</v>
      </c>
      <c r="F1616" s="2" t="s">
        <v>5976</v>
      </c>
      <c r="G1616" s="2"/>
      <c r="H1616" s="2" t="s">
        <v>2573</v>
      </c>
      <c r="I1616" s="2" t="s">
        <v>2801</v>
      </c>
      <c r="J1616" s="3">
        <v>41882</v>
      </c>
      <c r="K1616" s="2" t="str">
        <f>HYPERLINK("https://docs.wto.org/imrd/directdoc.asp?DDFDocuments/t/G/SPS/NKOR476.DOC")</f>
        <v>https://docs.wto.org/imrd/directdoc.asp?DDFDocuments/t/G/SPS/NKOR476.DOC</v>
      </c>
      <c r="L1616" s="2" t="str">
        <f>HYPERLINK("https://docs.wto.org/imrd/directdoc.asp?DDFDocuments/u/G/SPS/NKOR476.DOC")</f>
        <v>https://docs.wto.org/imrd/directdoc.asp?DDFDocuments/u/G/SPS/NKOR476.DOC</v>
      </c>
      <c r="M1616" s="2" t="str">
        <f>HYPERLINK("https://docs.wto.org/imrd/directdoc.asp?DDFDocuments/v/G/SPS/NKOR476.DOC")</f>
        <v>https://docs.wto.org/imrd/directdoc.asp?DDFDocuments/v/G/SPS/NKOR476.DOC</v>
      </c>
      <c r="N1616" s="2" t="str">
        <f>HYPERLINK("http://www.epingalert.org/#/details/G/SPS/N/KOR/476")</f>
        <v>http://www.epingalert.org/#/details/G/SPS/N/KOR/476</v>
      </c>
      <c r="O1616" s="2"/>
    </row>
    <row r="1617" spans="1:15" ht="240" customHeight="1" outlineLevel="1" x14ac:dyDescent="0.25">
      <c r="A1617" s="2" t="s">
        <v>77</v>
      </c>
      <c r="B1617" s="2" t="s">
        <v>5980</v>
      </c>
      <c r="C1617" s="2" t="s">
        <v>4643</v>
      </c>
      <c r="D1617" s="2" t="s">
        <v>4644</v>
      </c>
      <c r="E1617" s="3">
        <v>41822</v>
      </c>
      <c r="F1617" s="2" t="s">
        <v>5981</v>
      </c>
      <c r="G1617" s="2"/>
      <c r="H1617" s="2" t="s">
        <v>2573</v>
      </c>
      <c r="I1617" s="2" t="s">
        <v>2461</v>
      </c>
      <c r="J1617" s="3">
        <v>41882</v>
      </c>
      <c r="K1617" s="2" t="str">
        <f>HYPERLINK("https://docs.wto.org/imrd/directdoc.asp?DDFDocuments/t/G/SPS/NTPKM317.DOC")</f>
        <v>https://docs.wto.org/imrd/directdoc.asp?DDFDocuments/t/G/SPS/NTPKM317.DOC</v>
      </c>
      <c r="L1617" s="2" t="str">
        <f>HYPERLINK("https://docs.wto.org/imrd/directdoc.asp?DDFDocuments/u/G/SPS/NTPKM317.DOC")</f>
        <v>https://docs.wto.org/imrd/directdoc.asp?DDFDocuments/u/G/SPS/NTPKM317.DOC</v>
      </c>
      <c r="M1617" s="2" t="str">
        <f>HYPERLINK("https://docs.wto.org/imrd/directdoc.asp?DDFDocuments/v/G/SPS/NTPKM317.DOC")</f>
        <v>https://docs.wto.org/imrd/directdoc.asp?DDFDocuments/v/G/SPS/NTPKM317.DOC</v>
      </c>
      <c r="N1617" s="2" t="str">
        <f>HYPERLINK("http://www.epingalert.org/#/details/G/SPS/N/TPKM/317")</f>
        <v>http://www.epingalert.org/#/details/G/SPS/N/TPKM/317</v>
      </c>
      <c r="O1617" s="2"/>
    </row>
    <row r="1618" spans="1:15" ht="240" customHeight="1" outlineLevel="1" x14ac:dyDescent="0.25">
      <c r="A1618" s="2" t="s">
        <v>184</v>
      </c>
      <c r="B1618" s="2" t="s">
        <v>8399</v>
      </c>
      <c r="C1618" s="2" t="s">
        <v>8400</v>
      </c>
      <c r="D1618" s="2" t="s">
        <v>8401</v>
      </c>
      <c r="E1618" s="3">
        <v>41822</v>
      </c>
      <c r="F1618" s="2" t="s">
        <v>8402</v>
      </c>
      <c r="G1618" s="2" t="s">
        <v>8403</v>
      </c>
      <c r="H1618" s="2" t="s">
        <v>2467</v>
      </c>
      <c r="I1618" s="2" t="s">
        <v>2455</v>
      </c>
      <c r="J1618" s="3">
        <v>41882</v>
      </c>
      <c r="K1618" s="2" t="str">
        <f>HYPERLINK("https://docs.wto.org/imrd/directdoc.asp?DDFDocuments/t/G/SPS/NARE33.DOC")</f>
        <v>https://docs.wto.org/imrd/directdoc.asp?DDFDocuments/t/G/SPS/NARE33.DOC</v>
      </c>
      <c r="L1618" s="2" t="str">
        <f>HYPERLINK("https://docs.wto.org/imrd/directdoc.asp?DDFDocuments/u/G/SPS/NARE33.DOC")</f>
        <v>https://docs.wto.org/imrd/directdoc.asp?DDFDocuments/u/G/SPS/NARE33.DOC</v>
      </c>
      <c r="M1618" s="2" t="str">
        <f>HYPERLINK("https://docs.wto.org/imrd/directdoc.asp?DDFDocuments/v/G/SPS/NARE33.DOC")</f>
        <v>https://docs.wto.org/imrd/directdoc.asp?DDFDocuments/v/G/SPS/NARE33.DOC</v>
      </c>
      <c r="N1618" s="2" t="str">
        <f>HYPERLINK("http://www.epingalert.org/#/details/G/SPS/N/ARE/33")</f>
        <v>http://www.epingalert.org/#/details/G/SPS/N/ARE/33</v>
      </c>
      <c r="O1618" s="2"/>
    </row>
    <row r="1619" spans="1:15" ht="240" customHeight="1" outlineLevel="1" x14ac:dyDescent="0.25">
      <c r="A1619" s="2" t="s">
        <v>8396</v>
      </c>
      <c r="B1619" s="2" t="s">
        <v>8397</v>
      </c>
      <c r="C1619" s="2"/>
      <c r="D1619" s="2"/>
      <c r="E1619" s="3">
        <v>41822</v>
      </c>
      <c r="F1619" s="2" t="s">
        <v>8398</v>
      </c>
      <c r="G1619" s="2" t="s">
        <v>7202</v>
      </c>
      <c r="H1619" s="2" t="s">
        <v>2648</v>
      </c>
      <c r="I1619" s="2" t="s">
        <v>2672</v>
      </c>
      <c r="J1619" s="3">
        <v>41856</v>
      </c>
      <c r="K1619" s="2" t="str">
        <f>HYPERLINK("https://docs.wto.org/imrd/directdoc.asp?DDFDocuments/t/G/SPS/NHND52A1.DOC")</f>
        <v>https://docs.wto.org/imrd/directdoc.asp?DDFDocuments/t/G/SPS/NHND52A1.DOC</v>
      </c>
      <c r="L1619" s="2" t="str">
        <f>HYPERLINK("https://docs.wto.org/imrd/directdoc.asp?DDFDocuments/u/G/SPS/NHND52A1.DOC")</f>
        <v>https://docs.wto.org/imrd/directdoc.asp?DDFDocuments/u/G/SPS/NHND52A1.DOC</v>
      </c>
      <c r="M1619" s="2" t="str">
        <f>HYPERLINK("https://docs.wto.org/imrd/directdoc.asp?DDFDocuments/v/G/SPS/NHND52A1.DOC")</f>
        <v>https://docs.wto.org/imrd/directdoc.asp?DDFDocuments/v/G/SPS/NHND52A1.DOC</v>
      </c>
      <c r="N1619" s="2" t="str">
        <f>HYPERLINK("http://www.epingalert.org/#/details/G/SPS/N/HND/52/Add.1")</f>
        <v>http://www.epingalert.org/#/details/G/SPS/N/HND/52/Add.1</v>
      </c>
      <c r="O1619" s="2"/>
    </row>
    <row r="1620" spans="1:15" ht="240" customHeight="1" outlineLevel="1" x14ac:dyDescent="0.25">
      <c r="A1620" s="2" t="s">
        <v>42</v>
      </c>
      <c r="B1620" s="2" t="s">
        <v>5982</v>
      </c>
      <c r="C1620" s="2" t="s">
        <v>5983</v>
      </c>
      <c r="D1620" s="2" t="s">
        <v>5984</v>
      </c>
      <c r="E1620" s="3">
        <v>41822</v>
      </c>
      <c r="F1620" s="2" t="s">
        <v>5559</v>
      </c>
      <c r="G1620" s="2"/>
      <c r="H1620" s="2" t="s">
        <v>2573</v>
      </c>
      <c r="I1620" s="2" t="s">
        <v>2453</v>
      </c>
      <c r="J1620" s="3">
        <v>41843</v>
      </c>
      <c r="K1620" s="2" t="str">
        <f>HYPERLINK("https://docs.wto.org/imrd/directdoc.asp?DDFDocuments/t/G/SPS/NBRA953.DOC")</f>
        <v>https://docs.wto.org/imrd/directdoc.asp?DDFDocuments/t/G/SPS/NBRA953.DOC</v>
      </c>
      <c r="L1620" s="2" t="str">
        <f>HYPERLINK("https://docs.wto.org/imrd/directdoc.asp?DDFDocuments/u/G/SPS/NBRA953.DOC")</f>
        <v>https://docs.wto.org/imrd/directdoc.asp?DDFDocuments/u/G/SPS/NBRA953.DOC</v>
      </c>
      <c r="M1620" s="2" t="str">
        <f>HYPERLINK("https://docs.wto.org/imrd/directdoc.asp?DDFDocuments/v/G/SPS/NBRA953.DOC")</f>
        <v>https://docs.wto.org/imrd/directdoc.asp?DDFDocuments/v/G/SPS/NBRA953.DOC</v>
      </c>
      <c r="N1620" s="2" t="str">
        <f>HYPERLINK("http://www.epingalert.org/#/details/G/SPS/N/BRA/953")</f>
        <v>http://www.epingalert.org/#/details/G/SPS/N/BRA/953</v>
      </c>
      <c r="O1620" s="2"/>
    </row>
    <row r="1621" spans="1:15" ht="240" customHeight="1" outlineLevel="1" x14ac:dyDescent="0.25">
      <c r="A1621" s="2" t="s">
        <v>42</v>
      </c>
      <c r="B1621" s="2" t="s">
        <v>5985</v>
      </c>
      <c r="C1621" s="2" t="s">
        <v>5986</v>
      </c>
      <c r="D1621" s="2" t="s">
        <v>5987</v>
      </c>
      <c r="E1621" s="3">
        <v>41821</v>
      </c>
      <c r="F1621" s="2" t="s">
        <v>5988</v>
      </c>
      <c r="G1621" s="2"/>
      <c r="H1621" s="2" t="s">
        <v>2573</v>
      </c>
      <c r="I1621" s="2" t="s">
        <v>2461</v>
      </c>
      <c r="J1621" s="3">
        <v>41842</v>
      </c>
      <c r="K1621" s="2" t="str">
        <f>HYPERLINK("https://docs.wto.org/imrd/directdoc.asp?DDFDocuments/t/G/SPS/NBRA950.DOC")</f>
        <v>https://docs.wto.org/imrd/directdoc.asp?DDFDocuments/t/G/SPS/NBRA950.DOC</v>
      </c>
      <c r="L1621" s="2" t="str">
        <f>HYPERLINK("https://docs.wto.org/imrd/directdoc.asp?DDFDocuments/u/G/SPS/NBRA950.DOC")</f>
        <v>https://docs.wto.org/imrd/directdoc.asp?DDFDocuments/u/G/SPS/NBRA950.DOC</v>
      </c>
      <c r="M1621" s="2" t="str">
        <f>HYPERLINK("https://docs.wto.org/imrd/directdoc.asp?DDFDocuments/v/G/SPS/NBRA950.DOC")</f>
        <v>https://docs.wto.org/imrd/directdoc.asp?DDFDocuments/v/G/SPS/NBRA950.DOC</v>
      </c>
      <c r="N1621" s="2" t="str">
        <f>HYPERLINK("http://www.epingalert.org/#/details/G/SPS/N/BRA/950")</f>
        <v>http://www.epingalert.org/#/details/G/SPS/N/BRA/950</v>
      </c>
      <c r="O1621" s="2"/>
    </row>
    <row r="1622" spans="1:15" ht="240" customHeight="1" outlineLevel="1" x14ac:dyDescent="0.25">
      <c r="A1622" s="2" t="s">
        <v>25</v>
      </c>
      <c r="B1622" s="2" t="s">
        <v>5989</v>
      </c>
      <c r="C1622" s="2" t="s">
        <v>5990</v>
      </c>
      <c r="D1622" s="2" t="s">
        <v>5991</v>
      </c>
      <c r="E1622" s="3">
        <v>41817</v>
      </c>
      <c r="F1622" s="2" t="s">
        <v>5992</v>
      </c>
      <c r="G1622" s="2" t="s">
        <v>5993</v>
      </c>
      <c r="H1622" s="2" t="s">
        <v>2573</v>
      </c>
      <c r="I1622" s="2" t="s">
        <v>5994</v>
      </c>
      <c r="J1622" s="3">
        <v>41831</v>
      </c>
      <c r="K1622" s="2" t="str">
        <f>HYPERLINK("https://docs.wto.org/imrd/directdoc.asp?DDFDocuments/t/G/SPS/NKOR475.DOC")</f>
        <v>https://docs.wto.org/imrd/directdoc.asp?DDFDocuments/t/G/SPS/NKOR475.DOC</v>
      </c>
      <c r="L1622" s="2" t="str">
        <f>HYPERLINK("https://docs.wto.org/imrd/directdoc.asp?DDFDocuments/u/G/SPS/NKOR475.DOC")</f>
        <v>https://docs.wto.org/imrd/directdoc.asp?DDFDocuments/u/G/SPS/NKOR475.DOC</v>
      </c>
      <c r="M1622" s="2" t="str">
        <f>HYPERLINK("https://docs.wto.org/imrd/directdoc.asp?DDFDocuments/v/G/SPS/NKOR475.DOC")</f>
        <v>https://docs.wto.org/imrd/directdoc.asp?DDFDocuments/v/G/SPS/NKOR475.DOC</v>
      </c>
      <c r="N1622" s="2" t="str">
        <f>HYPERLINK("http://www.epingalert.org/#/details/G/SPS/N/KOR/475")</f>
        <v>http://www.epingalert.org/#/details/G/SPS/N/KOR/475</v>
      </c>
      <c r="O1622" s="2"/>
    </row>
    <row r="1623" spans="1:15" ht="240" customHeight="1" outlineLevel="1" x14ac:dyDescent="0.25">
      <c r="A1623" s="2" t="s">
        <v>173</v>
      </c>
      <c r="B1623" s="2" t="s">
        <v>8404</v>
      </c>
      <c r="C1623" s="2" t="s">
        <v>8405</v>
      </c>
      <c r="D1623" s="2" t="s">
        <v>991</v>
      </c>
      <c r="E1623" s="3">
        <v>41816</v>
      </c>
      <c r="F1623" s="2" t="s">
        <v>8267</v>
      </c>
      <c r="G1623" s="2" t="s">
        <v>8268</v>
      </c>
      <c r="H1623" s="2" t="s">
        <v>2573</v>
      </c>
      <c r="I1623" s="2" t="s">
        <v>2461</v>
      </c>
      <c r="J1623" s="3">
        <v>41876</v>
      </c>
      <c r="K1623" s="2" t="str">
        <f>HYPERLINK("https://docs.wto.org/imrd/directdoc.asp?DDFDocuments/t/G/SPS/NSAU107.DOC")</f>
        <v>https://docs.wto.org/imrd/directdoc.asp?DDFDocuments/t/G/SPS/NSAU107.DOC</v>
      </c>
      <c r="L1623" s="2" t="str">
        <f>HYPERLINK("https://docs.wto.org/imrd/directdoc.asp?DDFDocuments/u/G/SPS/NSAU107.DOC")</f>
        <v>https://docs.wto.org/imrd/directdoc.asp?DDFDocuments/u/G/SPS/NSAU107.DOC</v>
      </c>
      <c r="M1623" s="2" t="str">
        <f>HYPERLINK("https://docs.wto.org/imrd/directdoc.asp?DDFDocuments/v/G/SPS/NSAU107.DOC")</f>
        <v>https://docs.wto.org/imrd/directdoc.asp?DDFDocuments/v/G/SPS/NSAU107.DOC</v>
      </c>
      <c r="N1623" s="2" t="str">
        <f>HYPERLINK("http://www.epingalert.org/#/details/G/SPS/N/SAU/107")</f>
        <v>http://www.epingalert.org/#/details/G/SPS/N/SAU/107</v>
      </c>
      <c r="O1623" s="2"/>
    </row>
    <row r="1624" spans="1:15" ht="240" customHeight="1" outlineLevel="1" x14ac:dyDescent="0.25">
      <c r="A1624" s="2" t="s">
        <v>98</v>
      </c>
      <c r="B1624" s="2" t="s">
        <v>5995</v>
      </c>
      <c r="C1624" s="2" t="s">
        <v>5996</v>
      </c>
      <c r="D1624" s="2" t="s">
        <v>5997</v>
      </c>
      <c r="E1624" s="3">
        <v>41816</v>
      </c>
      <c r="F1624" s="2" t="s">
        <v>5998</v>
      </c>
      <c r="G1624" s="2" t="s">
        <v>5999</v>
      </c>
      <c r="H1624" s="2" t="s">
        <v>2573</v>
      </c>
      <c r="I1624" s="2" t="s">
        <v>2558</v>
      </c>
      <c r="J1624" s="3">
        <v>41857</v>
      </c>
      <c r="K1624" s="2" t="str">
        <f>HYPERLINK("https://docs.wto.org/imrd/directdoc.asp?DDFDocuments/t/G/SPS/NZAF35.DOC")</f>
        <v>https://docs.wto.org/imrd/directdoc.asp?DDFDocuments/t/G/SPS/NZAF35.DOC</v>
      </c>
      <c r="L1624" s="2" t="str">
        <f>HYPERLINK("https://docs.wto.org/imrd/directdoc.asp?DDFDocuments/u/G/SPS/NZAF35.DOC")</f>
        <v>https://docs.wto.org/imrd/directdoc.asp?DDFDocuments/u/G/SPS/NZAF35.DOC</v>
      </c>
      <c r="M1624" s="2" t="str">
        <f>HYPERLINK("https://docs.wto.org/imrd/directdoc.asp?DDFDocuments/v/G/SPS/NZAF35.DOC")</f>
        <v>https://docs.wto.org/imrd/directdoc.asp?DDFDocuments/v/G/SPS/NZAF35.DOC</v>
      </c>
      <c r="N1624" s="2" t="str">
        <f>HYPERLINK("http://www.epingalert.org/#/details/G/SPS/N/ZAF/35")</f>
        <v>http://www.epingalert.org/#/details/G/SPS/N/ZAF/35</v>
      </c>
      <c r="O1624" s="2"/>
    </row>
    <row r="1625" spans="1:15" ht="240" customHeight="1" outlineLevel="1" x14ac:dyDescent="0.25">
      <c r="A1625" s="2" t="s">
        <v>42</v>
      </c>
      <c r="B1625" s="2" t="s">
        <v>6000</v>
      </c>
      <c r="C1625" s="2" t="s">
        <v>6001</v>
      </c>
      <c r="D1625" s="2" t="s">
        <v>5555</v>
      </c>
      <c r="E1625" s="3">
        <v>41816</v>
      </c>
      <c r="F1625" s="2" t="s">
        <v>5555</v>
      </c>
      <c r="G1625" s="2"/>
      <c r="H1625" s="2" t="s">
        <v>2573</v>
      </c>
      <c r="I1625" s="2" t="s">
        <v>2453</v>
      </c>
      <c r="J1625" s="3">
        <v>41831</v>
      </c>
      <c r="K1625" s="2" t="str">
        <f>HYPERLINK("https://docs.wto.org/imrd/directdoc.asp?DDFDocuments/t/G/SPS/NBRA949.DOC")</f>
        <v>https://docs.wto.org/imrd/directdoc.asp?DDFDocuments/t/G/SPS/NBRA949.DOC</v>
      </c>
      <c r="L1625" s="2" t="str">
        <f>HYPERLINK("https://docs.wto.org/imrd/directdoc.asp?DDFDocuments/u/G/SPS/NBRA949.DOC")</f>
        <v>https://docs.wto.org/imrd/directdoc.asp?DDFDocuments/u/G/SPS/NBRA949.DOC</v>
      </c>
      <c r="M1625" s="2" t="str">
        <f>HYPERLINK("https://docs.wto.org/imrd/directdoc.asp?DDFDocuments/v/G/SPS/NBRA949.DOC")</f>
        <v>https://docs.wto.org/imrd/directdoc.asp?DDFDocuments/v/G/SPS/NBRA949.DOC</v>
      </c>
      <c r="N1625" s="2" t="str">
        <f>HYPERLINK("http://www.epingalert.org/#/details/G/SPS/N/BRA/949")</f>
        <v>http://www.epingalert.org/#/details/G/SPS/N/BRA/949</v>
      </c>
      <c r="O1625" s="2"/>
    </row>
    <row r="1626" spans="1:15" ht="240" customHeight="1" outlineLevel="1" x14ac:dyDescent="0.25">
      <c r="A1626" s="2" t="s">
        <v>42</v>
      </c>
      <c r="B1626" s="2" t="s">
        <v>6002</v>
      </c>
      <c r="C1626" s="2" t="s">
        <v>6003</v>
      </c>
      <c r="D1626" s="2" t="s">
        <v>5546</v>
      </c>
      <c r="E1626" s="3">
        <v>41816</v>
      </c>
      <c r="F1626" s="2" t="s">
        <v>5546</v>
      </c>
      <c r="G1626" s="2"/>
      <c r="H1626" s="2" t="s">
        <v>2573</v>
      </c>
      <c r="I1626" s="2" t="s">
        <v>2453</v>
      </c>
      <c r="J1626" s="3">
        <v>41831</v>
      </c>
      <c r="K1626" s="2" t="str">
        <f>HYPERLINK("https://docs.wto.org/imrd/directdoc.asp?DDFDocuments/t/G/SPS/NBRA948.DOC")</f>
        <v>https://docs.wto.org/imrd/directdoc.asp?DDFDocuments/t/G/SPS/NBRA948.DOC</v>
      </c>
      <c r="L1626" s="2" t="str">
        <f>HYPERLINK("https://docs.wto.org/imrd/directdoc.asp?DDFDocuments/u/G/SPS/NBRA948.DOC")</f>
        <v>https://docs.wto.org/imrd/directdoc.asp?DDFDocuments/u/G/SPS/NBRA948.DOC</v>
      </c>
      <c r="M1626" s="2" t="str">
        <f>HYPERLINK("https://docs.wto.org/imrd/directdoc.asp?DDFDocuments/v/G/SPS/NBRA948.DOC")</f>
        <v>https://docs.wto.org/imrd/directdoc.asp?DDFDocuments/v/G/SPS/NBRA948.DOC</v>
      </c>
      <c r="N1626" s="2" t="str">
        <f>HYPERLINK("http://www.epingalert.org/#/details/G/SPS/N/BRA/948")</f>
        <v>http://www.epingalert.org/#/details/G/SPS/N/BRA/948</v>
      </c>
      <c r="O1626" s="2"/>
    </row>
    <row r="1627" spans="1:15" ht="240" customHeight="1" outlineLevel="1" x14ac:dyDescent="0.25">
      <c r="A1627" s="2" t="s">
        <v>42</v>
      </c>
      <c r="B1627" s="2" t="s">
        <v>6004</v>
      </c>
      <c r="C1627" s="2" t="s">
        <v>6005</v>
      </c>
      <c r="D1627" s="2" t="s">
        <v>5557</v>
      </c>
      <c r="E1627" s="3">
        <v>41816</v>
      </c>
      <c r="F1627" s="2" t="s">
        <v>6006</v>
      </c>
      <c r="G1627" s="2"/>
      <c r="H1627" s="2" t="s">
        <v>2573</v>
      </c>
      <c r="I1627" s="2" t="s">
        <v>2453</v>
      </c>
      <c r="J1627" s="3">
        <v>41831</v>
      </c>
      <c r="K1627" s="2" t="str">
        <f>HYPERLINK("https://docs.wto.org/imrd/directdoc.asp?DDFDocuments/t/G/SPS/NBRA947.DOC")</f>
        <v>https://docs.wto.org/imrd/directdoc.asp?DDFDocuments/t/G/SPS/NBRA947.DOC</v>
      </c>
      <c r="L1627" s="2" t="str">
        <f>HYPERLINK("https://docs.wto.org/imrd/directdoc.asp?DDFDocuments/u/G/SPS/NBRA947.DOC")</f>
        <v>https://docs.wto.org/imrd/directdoc.asp?DDFDocuments/u/G/SPS/NBRA947.DOC</v>
      </c>
      <c r="M1627" s="2" t="str">
        <f>HYPERLINK("https://docs.wto.org/imrd/directdoc.asp?DDFDocuments/v/G/SPS/NBRA947.DOC")</f>
        <v>https://docs.wto.org/imrd/directdoc.asp?DDFDocuments/v/G/SPS/NBRA947.DOC</v>
      </c>
      <c r="N1627" s="2" t="str">
        <f>HYPERLINK("http://www.epingalert.org/#/details/G/SPS/N/BRA/947")</f>
        <v>http://www.epingalert.org/#/details/G/SPS/N/BRA/947</v>
      </c>
      <c r="O1627" s="2"/>
    </row>
    <row r="1628" spans="1:15" ht="240" customHeight="1" outlineLevel="1" x14ac:dyDescent="0.25">
      <c r="A1628" s="2" t="s">
        <v>1908</v>
      </c>
      <c r="B1628" s="2" t="s">
        <v>6682</v>
      </c>
      <c r="C1628" s="2" t="s">
        <v>6683</v>
      </c>
      <c r="D1628" s="2" t="s">
        <v>6684</v>
      </c>
      <c r="E1628" s="3">
        <v>41815</v>
      </c>
      <c r="F1628" s="2" t="s">
        <v>6685</v>
      </c>
      <c r="G1628" s="2" t="s">
        <v>6686</v>
      </c>
      <c r="H1628" s="2" t="s">
        <v>2573</v>
      </c>
      <c r="I1628" s="2" t="s">
        <v>6687</v>
      </c>
      <c r="J1628" s="3">
        <v>41884</v>
      </c>
      <c r="K1628" s="2" t="str">
        <f>HYPERLINK("https://docs.wto.org/imrd/directdoc.asp?DDFDocuments/t/G/SPS/NCAN832.DOC")</f>
        <v>https://docs.wto.org/imrd/directdoc.asp?DDFDocuments/t/G/SPS/NCAN832.DOC</v>
      </c>
      <c r="L1628" s="2" t="str">
        <f>HYPERLINK("https://docs.wto.org/imrd/directdoc.asp?DDFDocuments/u/G/SPS/NCAN832.DOC")</f>
        <v>https://docs.wto.org/imrd/directdoc.asp?DDFDocuments/u/G/SPS/NCAN832.DOC</v>
      </c>
      <c r="M1628" s="2" t="str">
        <f>HYPERLINK("https://docs.wto.org/imrd/directdoc.asp?DDFDocuments/v/G/SPS/NCAN832.DOC")</f>
        <v>https://docs.wto.org/imrd/directdoc.asp?DDFDocuments/v/G/SPS/NCAN832.DOC</v>
      </c>
      <c r="N1628" s="2" t="str">
        <f>HYPERLINK("http://www.epingalert.org/#/details/G/SPS/N/CAN/832")</f>
        <v>http://www.epingalert.org/#/details/G/SPS/N/CAN/832</v>
      </c>
      <c r="O1628" s="2"/>
    </row>
    <row r="1629" spans="1:15" ht="240" customHeight="1" outlineLevel="1" x14ac:dyDescent="0.25">
      <c r="A1629" s="2" t="s">
        <v>173</v>
      </c>
      <c r="B1629" s="2" t="s">
        <v>8406</v>
      </c>
      <c r="C1629" s="2" t="s">
        <v>8407</v>
      </c>
      <c r="D1629" s="2" t="s">
        <v>1123</v>
      </c>
      <c r="E1629" s="3">
        <v>41815</v>
      </c>
      <c r="F1629" s="2" t="s">
        <v>8408</v>
      </c>
      <c r="G1629" s="2" t="s">
        <v>2381</v>
      </c>
      <c r="H1629" s="2" t="s">
        <v>2573</v>
      </c>
      <c r="I1629" s="2" t="s">
        <v>2426</v>
      </c>
      <c r="J1629" s="3">
        <v>41875</v>
      </c>
      <c r="K1629" s="2" t="str">
        <f>HYPERLINK("https://docs.wto.org/imrd/directdoc.asp?DDFDocuments/t/G/SPS/NSAU105.DOC")</f>
        <v>https://docs.wto.org/imrd/directdoc.asp?DDFDocuments/t/G/SPS/NSAU105.DOC</v>
      </c>
      <c r="L1629" s="2" t="str">
        <f>HYPERLINK("https://docs.wto.org/imrd/directdoc.asp?DDFDocuments/u/G/SPS/NSAU105.DOC")</f>
        <v>https://docs.wto.org/imrd/directdoc.asp?DDFDocuments/u/G/SPS/NSAU105.DOC</v>
      </c>
      <c r="M1629" s="2" t="str">
        <f>HYPERLINK("https://docs.wto.org/imrd/directdoc.asp?DDFDocuments/v/G/SPS/NSAU105.DOC")</f>
        <v>https://docs.wto.org/imrd/directdoc.asp?DDFDocuments/v/G/SPS/NSAU105.DOC</v>
      </c>
      <c r="N1629" s="2" t="str">
        <f>HYPERLINK("http://www.epingalert.org/#/details/G/SPS/N/SAU/105")</f>
        <v>http://www.epingalert.org/#/details/G/SPS/N/SAU/105</v>
      </c>
      <c r="O1629" s="2"/>
    </row>
    <row r="1630" spans="1:15" ht="240" customHeight="1" outlineLevel="1" x14ac:dyDescent="0.25">
      <c r="A1630" s="2" t="s">
        <v>776</v>
      </c>
      <c r="B1630" s="2" t="s">
        <v>6007</v>
      </c>
      <c r="C1630" s="2"/>
      <c r="D1630" s="2"/>
      <c r="E1630" s="3">
        <v>41815</v>
      </c>
      <c r="F1630" s="2" t="s">
        <v>221</v>
      </c>
      <c r="G1630" s="2"/>
      <c r="H1630" s="2" t="s">
        <v>2573</v>
      </c>
      <c r="I1630" s="2" t="s">
        <v>6008</v>
      </c>
      <c r="J1630" s="3">
        <v>41835</v>
      </c>
      <c r="K1630" s="2" t="str">
        <f>HYPERLINK("https://docs.wto.org/imrd/directdoc.asp?DDFDocuments/t/G/SPS/NHKG39A1.DOC")</f>
        <v>https://docs.wto.org/imrd/directdoc.asp?DDFDocuments/t/G/SPS/NHKG39A1.DOC</v>
      </c>
      <c r="L1630" s="2" t="str">
        <f>HYPERLINK("https://docs.wto.org/imrd/directdoc.asp?DDFDocuments/u/G/SPS/NHKG39A1.DOC")</f>
        <v>https://docs.wto.org/imrd/directdoc.asp?DDFDocuments/u/G/SPS/NHKG39A1.DOC</v>
      </c>
      <c r="M1630" s="2" t="str">
        <f>HYPERLINK("https://docs.wto.org/imrd/directdoc.asp?DDFDocuments/v/G/SPS/NHKG39A1.DOC")</f>
        <v>https://docs.wto.org/imrd/directdoc.asp?DDFDocuments/v/G/SPS/NHKG39A1.DOC</v>
      </c>
      <c r="N1630" s="2" t="str">
        <f>HYPERLINK("http://www.epingalert.org/#/details/G/SPS/N/HKG/39/Add.1")</f>
        <v>http://www.epingalert.org/#/details/G/SPS/N/HKG/39/Add.1</v>
      </c>
      <c r="O1630" s="2"/>
    </row>
    <row r="1631" spans="1:15" ht="240" customHeight="1" outlineLevel="1" x14ac:dyDescent="0.25">
      <c r="A1631" s="2" t="s">
        <v>42</v>
      </c>
      <c r="B1631" s="2" t="s">
        <v>6009</v>
      </c>
      <c r="C1631" s="2" t="s">
        <v>6010</v>
      </c>
      <c r="D1631" s="2" t="s">
        <v>6011</v>
      </c>
      <c r="E1631" s="3">
        <v>41813</v>
      </c>
      <c r="F1631" s="2" t="s">
        <v>6011</v>
      </c>
      <c r="G1631" s="2"/>
      <c r="H1631" s="2" t="s">
        <v>2573</v>
      </c>
      <c r="I1631" s="2" t="s">
        <v>2453</v>
      </c>
      <c r="J1631" s="3">
        <v>41831</v>
      </c>
      <c r="K1631" s="2" t="str">
        <f>HYPERLINK("https://docs.wto.org/imrd/directdoc.asp?DDFDocuments/t/G/SPS/NBRA946.DOC")</f>
        <v>https://docs.wto.org/imrd/directdoc.asp?DDFDocuments/t/G/SPS/NBRA946.DOC</v>
      </c>
      <c r="L1631" s="2" t="str">
        <f>HYPERLINK("https://docs.wto.org/imrd/directdoc.asp?DDFDocuments/u/G/SPS/NBRA946.DOC")</f>
        <v>https://docs.wto.org/imrd/directdoc.asp?DDFDocuments/u/G/SPS/NBRA946.DOC</v>
      </c>
      <c r="M1631" s="2" t="str">
        <f>HYPERLINK("https://docs.wto.org/imrd/directdoc.asp?DDFDocuments/v/G/SPS/NBRA946.DOC")</f>
        <v>https://docs.wto.org/imrd/directdoc.asp?DDFDocuments/v/G/SPS/NBRA946.DOC</v>
      </c>
      <c r="N1631" s="2" t="str">
        <f>HYPERLINK("http://www.epingalert.org/#/details/G/SPS/N/BRA/946")</f>
        <v>http://www.epingalert.org/#/details/G/SPS/N/BRA/946</v>
      </c>
      <c r="O1631" s="2"/>
    </row>
    <row r="1632" spans="1:15" ht="240" customHeight="1" outlineLevel="1" x14ac:dyDescent="0.25">
      <c r="A1632" s="2" t="s">
        <v>42</v>
      </c>
      <c r="B1632" s="2" t="s">
        <v>6012</v>
      </c>
      <c r="C1632" s="2" t="s">
        <v>6013</v>
      </c>
      <c r="D1632" s="2" t="s">
        <v>5544</v>
      </c>
      <c r="E1632" s="3">
        <v>41813</v>
      </c>
      <c r="F1632" s="2" t="s">
        <v>5544</v>
      </c>
      <c r="G1632" s="2"/>
      <c r="H1632" s="2" t="s">
        <v>2573</v>
      </c>
      <c r="I1632" s="2" t="s">
        <v>2453</v>
      </c>
      <c r="J1632" s="3">
        <v>41831</v>
      </c>
      <c r="K1632" s="2" t="str">
        <f>HYPERLINK("https://docs.wto.org/imrd/directdoc.asp?DDFDocuments/t/G/SPS/NBRA944.DOC")</f>
        <v>https://docs.wto.org/imrd/directdoc.asp?DDFDocuments/t/G/SPS/NBRA944.DOC</v>
      </c>
      <c r="L1632" s="2" t="str">
        <f>HYPERLINK("https://docs.wto.org/imrd/directdoc.asp?DDFDocuments/u/G/SPS/NBRA944.DOC")</f>
        <v>https://docs.wto.org/imrd/directdoc.asp?DDFDocuments/u/G/SPS/NBRA944.DOC</v>
      </c>
      <c r="M1632" s="2" t="str">
        <f>HYPERLINK("https://docs.wto.org/imrd/directdoc.asp?DDFDocuments/v/G/SPS/NBRA944.DOC")</f>
        <v>https://docs.wto.org/imrd/directdoc.asp?DDFDocuments/v/G/SPS/NBRA944.DOC</v>
      </c>
      <c r="N1632" s="2" t="str">
        <f>HYPERLINK("http://www.epingalert.org/#/details/G/SPS/N/BRA/944")</f>
        <v>http://www.epingalert.org/#/details/G/SPS/N/BRA/944</v>
      </c>
      <c r="O1632" s="2"/>
    </row>
    <row r="1633" spans="1:15" ht="240" customHeight="1" outlineLevel="1" x14ac:dyDescent="0.25">
      <c r="A1633" s="2" t="s">
        <v>42</v>
      </c>
      <c r="B1633" s="2" t="s">
        <v>6014</v>
      </c>
      <c r="C1633" s="2" t="s">
        <v>6015</v>
      </c>
      <c r="D1633" s="2" t="s">
        <v>6016</v>
      </c>
      <c r="E1633" s="3">
        <v>41813</v>
      </c>
      <c r="F1633" s="2" t="s">
        <v>6016</v>
      </c>
      <c r="G1633" s="2"/>
      <c r="H1633" s="2" t="s">
        <v>2573</v>
      </c>
      <c r="I1633" s="2" t="s">
        <v>2453</v>
      </c>
      <c r="J1633" s="3">
        <v>41831</v>
      </c>
      <c r="K1633" s="2" t="str">
        <f>HYPERLINK("https://docs.wto.org/imrd/directdoc.asp?DDFDocuments/t/G/SPS/NBRA943.DOC")</f>
        <v>https://docs.wto.org/imrd/directdoc.asp?DDFDocuments/t/G/SPS/NBRA943.DOC</v>
      </c>
      <c r="L1633" s="2" t="str">
        <f>HYPERLINK("https://docs.wto.org/imrd/directdoc.asp?DDFDocuments/u/G/SPS/NBRA943.DOC")</f>
        <v>https://docs.wto.org/imrd/directdoc.asp?DDFDocuments/u/G/SPS/NBRA943.DOC</v>
      </c>
      <c r="M1633" s="2" t="str">
        <f>HYPERLINK("https://docs.wto.org/imrd/directdoc.asp?DDFDocuments/v/G/SPS/NBRA943.DOC")</f>
        <v>https://docs.wto.org/imrd/directdoc.asp?DDFDocuments/v/G/SPS/NBRA943.DOC</v>
      </c>
      <c r="N1633" s="2" t="str">
        <f>HYPERLINK("http://www.epingalert.org/#/details/G/SPS/N/BRA/943")</f>
        <v>http://www.epingalert.org/#/details/G/SPS/N/BRA/943</v>
      </c>
      <c r="O1633" s="2"/>
    </row>
    <row r="1634" spans="1:15" ht="240" customHeight="1" outlineLevel="1" x14ac:dyDescent="0.25">
      <c r="A1634" s="2" t="s">
        <v>562</v>
      </c>
      <c r="B1634" s="2" t="s">
        <v>6020</v>
      </c>
      <c r="C1634" s="2"/>
      <c r="D1634" s="2"/>
      <c r="E1634" s="3">
        <v>41810</v>
      </c>
      <c r="F1634" s="2" t="s">
        <v>46</v>
      </c>
      <c r="G1634" s="2"/>
      <c r="H1634" s="2" t="s">
        <v>2573</v>
      </c>
      <c r="I1634" s="2" t="s">
        <v>2672</v>
      </c>
      <c r="J1634" s="3">
        <v>41870</v>
      </c>
      <c r="K1634" s="2" t="str">
        <f>HYPERLINK("https://docs.wto.org/imrd/directdoc.asp?DDFDocuments/t/G/SPS/NSGP52A2.DOC")</f>
        <v>https://docs.wto.org/imrd/directdoc.asp?DDFDocuments/t/G/SPS/NSGP52A2.DOC</v>
      </c>
      <c r="L1634" s="2" t="str">
        <f>HYPERLINK("https://docs.wto.org/imrd/directdoc.asp?DDFDocuments/u/G/SPS/NSGP52A2.DOC")</f>
        <v>https://docs.wto.org/imrd/directdoc.asp?DDFDocuments/u/G/SPS/NSGP52A2.DOC</v>
      </c>
      <c r="M1634" s="2" t="str">
        <f>HYPERLINK("https://docs.wto.org/imrd/directdoc.asp?DDFDocuments/v/G/SPS/NSGP52A2.DOC")</f>
        <v>https://docs.wto.org/imrd/directdoc.asp?DDFDocuments/v/G/SPS/NSGP52A2.DOC</v>
      </c>
      <c r="N1634" s="2" t="str">
        <f>HYPERLINK("http://www.epingalert.org/#/details/G/SPS/N/SGP/52/Add.2")</f>
        <v>http://www.epingalert.org/#/details/G/SPS/N/SGP/52/Add.2</v>
      </c>
      <c r="O1634" s="2"/>
    </row>
    <row r="1635" spans="1:15" ht="240" customHeight="1" outlineLevel="1" x14ac:dyDescent="0.25">
      <c r="A1635" s="2" t="s">
        <v>18</v>
      </c>
      <c r="B1635" s="2" t="s">
        <v>6017</v>
      </c>
      <c r="C1635" s="2"/>
      <c r="D1635" s="2"/>
      <c r="E1635" s="3">
        <v>41810</v>
      </c>
      <c r="F1635" s="2" t="s">
        <v>6018</v>
      </c>
      <c r="G1635" s="2" t="s">
        <v>6019</v>
      </c>
      <c r="H1635" s="2" t="s">
        <v>2573</v>
      </c>
      <c r="I1635" s="2" t="s">
        <v>2672</v>
      </c>
      <c r="J1635" s="3">
        <v>41869</v>
      </c>
      <c r="K1635" s="2" t="str">
        <f>HYPERLINK("https://docs.wto.org/imrd/directdoc.asp?DDFDocuments/t/G/SPS/NUSA2645A1.DOC")</f>
        <v>https://docs.wto.org/imrd/directdoc.asp?DDFDocuments/t/G/SPS/NUSA2645A1.DOC</v>
      </c>
      <c r="L1635" s="2" t="str">
        <f>HYPERLINK("https://docs.wto.org/imrd/directdoc.asp?DDFDocuments/u/G/SPS/NUSA2645A1.DOC")</f>
        <v>https://docs.wto.org/imrd/directdoc.asp?DDFDocuments/u/G/SPS/NUSA2645A1.DOC</v>
      </c>
      <c r="M1635" s="2" t="str">
        <f>HYPERLINK("https://docs.wto.org/imrd/directdoc.asp?DDFDocuments/v/G/SPS/NUSA2645A1.DOC")</f>
        <v>https://docs.wto.org/imrd/directdoc.asp?DDFDocuments/v/G/SPS/NUSA2645A1.DOC</v>
      </c>
      <c r="N1635" s="2" t="str">
        <f>HYPERLINK("http://www.epingalert.org/#/details/G/SPS/N/USA/2645/Add.1")</f>
        <v>http://www.epingalert.org/#/details/G/SPS/N/USA/2645/Add.1</v>
      </c>
      <c r="O1635" s="2"/>
    </row>
    <row r="1636" spans="1:15" ht="240" customHeight="1" outlineLevel="1" x14ac:dyDescent="0.25">
      <c r="A1636" s="2" t="s">
        <v>211</v>
      </c>
      <c r="B1636" s="2" t="s">
        <v>6021</v>
      </c>
      <c r="C1636" s="2" t="s">
        <v>6022</v>
      </c>
      <c r="D1636" s="2" t="s">
        <v>6023</v>
      </c>
      <c r="E1636" s="3">
        <v>41810</v>
      </c>
      <c r="F1636" s="2" t="s">
        <v>4234</v>
      </c>
      <c r="G1636" s="2"/>
      <c r="H1636" s="2" t="s">
        <v>2573</v>
      </c>
      <c r="I1636" s="2" t="s">
        <v>2453</v>
      </c>
      <c r="J1636" s="3">
        <v>41838</v>
      </c>
      <c r="K1636" s="2" t="str">
        <f>HYPERLINK("https://docs.wto.org/imrd/directdoc.asp?DDFDocuments/t/G/SPS/NNZL504.DOC")</f>
        <v>https://docs.wto.org/imrd/directdoc.asp?DDFDocuments/t/G/SPS/NNZL504.DOC</v>
      </c>
      <c r="L1636" s="2" t="str">
        <f>HYPERLINK("https://docs.wto.org/imrd/directdoc.asp?DDFDocuments/u/G/SPS/NNZL504.DOC")</f>
        <v>https://docs.wto.org/imrd/directdoc.asp?DDFDocuments/u/G/SPS/NNZL504.DOC</v>
      </c>
      <c r="M1636" s="2" t="str">
        <f>HYPERLINK("https://docs.wto.org/imrd/directdoc.asp?DDFDocuments/v/G/SPS/NNZL504.DOC")</f>
        <v>https://docs.wto.org/imrd/directdoc.asp?DDFDocuments/v/G/SPS/NNZL504.DOC</v>
      </c>
      <c r="N1636" s="2" t="str">
        <f>HYPERLINK("http://www.epingalert.org/#/details/G/SPS/N/NZL/504")</f>
        <v>http://www.epingalert.org/#/details/G/SPS/N/NZL/504</v>
      </c>
      <c r="O1636" s="2"/>
    </row>
    <row r="1637" spans="1:15" ht="240" customHeight="1" outlineLevel="1" x14ac:dyDescent="0.25">
      <c r="A1637" s="2" t="s">
        <v>42</v>
      </c>
      <c r="B1637" s="2" t="s">
        <v>8409</v>
      </c>
      <c r="C1637" s="2" t="s">
        <v>8410</v>
      </c>
      <c r="D1637" s="2" t="s">
        <v>8411</v>
      </c>
      <c r="E1637" s="3">
        <v>41808</v>
      </c>
      <c r="F1637" s="2" t="s">
        <v>8412</v>
      </c>
      <c r="G1637" s="2" t="s">
        <v>8413</v>
      </c>
      <c r="H1637" s="2" t="s">
        <v>2573</v>
      </c>
      <c r="I1637" s="2" t="s">
        <v>2558</v>
      </c>
      <c r="J1637" s="3">
        <v>41869</v>
      </c>
      <c r="K1637" s="2" t="str">
        <f>HYPERLINK("https://docs.wto.org/imrd/directdoc.asp?DDFDocuments/t/G/SPS/NBRA939.DOC")</f>
        <v>https://docs.wto.org/imrd/directdoc.asp?DDFDocuments/t/G/SPS/NBRA939.DOC</v>
      </c>
      <c r="L1637" s="2" t="str">
        <f>HYPERLINK("https://docs.wto.org/imrd/directdoc.asp?DDFDocuments/u/G/SPS/NBRA939.DOC")</f>
        <v>https://docs.wto.org/imrd/directdoc.asp?DDFDocuments/u/G/SPS/NBRA939.DOC</v>
      </c>
      <c r="M1637" s="2" t="str">
        <f>HYPERLINK("https://docs.wto.org/imrd/directdoc.asp?DDFDocuments/v/G/SPS/NBRA939.DOC")</f>
        <v>https://docs.wto.org/imrd/directdoc.asp?DDFDocuments/v/G/SPS/NBRA939.DOC</v>
      </c>
      <c r="N1637" s="2" t="str">
        <f>HYPERLINK("http://www.epingalert.org/#/details/G/SPS/N/BRA/939")</f>
        <v>http://www.epingalert.org/#/details/G/SPS/N/BRA/939</v>
      </c>
      <c r="O1637" s="2"/>
    </row>
    <row r="1638" spans="1:15" ht="240" customHeight="1" outlineLevel="1" x14ac:dyDescent="0.25">
      <c r="A1638" s="2" t="s">
        <v>225</v>
      </c>
      <c r="B1638" s="2" t="s">
        <v>6024</v>
      </c>
      <c r="C1638" s="2" t="s">
        <v>6025</v>
      </c>
      <c r="D1638" s="2" t="s">
        <v>2494</v>
      </c>
      <c r="E1638" s="3">
        <v>41808</v>
      </c>
      <c r="F1638" s="2" t="s">
        <v>2430</v>
      </c>
      <c r="G1638" s="2"/>
      <c r="H1638" s="2" t="s">
        <v>2573</v>
      </c>
      <c r="I1638" s="2" t="s">
        <v>2431</v>
      </c>
      <c r="J1638" s="3">
        <v>41862</v>
      </c>
      <c r="K1638" s="2" t="str">
        <f>HYPERLINK("https://docs.wto.org/imrd/directdoc.asp?DDFDocuments/t/G/SPS/NAUS340.DOC")</f>
        <v>https://docs.wto.org/imrd/directdoc.asp?DDFDocuments/t/G/SPS/NAUS340.DOC</v>
      </c>
      <c r="L1638" s="2" t="str">
        <f>HYPERLINK("https://docs.wto.org/imrd/directdoc.asp?DDFDocuments/u/G/SPS/NAUS340.DOC")</f>
        <v>https://docs.wto.org/imrd/directdoc.asp?DDFDocuments/u/G/SPS/NAUS340.DOC</v>
      </c>
      <c r="M1638" s="2" t="str">
        <f>HYPERLINK("https://docs.wto.org/imrd/directdoc.asp?DDFDocuments/v/G/SPS/NAUS340.DOC")</f>
        <v>https://docs.wto.org/imrd/directdoc.asp?DDFDocuments/v/G/SPS/NAUS340.DOC</v>
      </c>
      <c r="N1638" s="2" t="str">
        <f>HYPERLINK("http://www.epingalert.org/#/details/G/SPS/N/AUS/340")</f>
        <v>http://www.epingalert.org/#/details/G/SPS/N/AUS/340</v>
      </c>
      <c r="O1638" s="2"/>
    </row>
    <row r="1639" spans="1:15" ht="240" customHeight="1" outlineLevel="1" x14ac:dyDescent="0.25">
      <c r="A1639" s="2" t="s">
        <v>37</v>
      </c>
      <c r="B1639" s="2" t="s">
        <v>6028</v>
      </c>
      <c r="C1639" s="2"/>
      <c r="D1639" s="2"/>
      <c r="E1639" s="3">
        <v>41807</v>
      </c>
      <c r="F1639" s="2" t="s">
        <v>6029</v>
      </c>
      <c r="G1639" s="2"/>
      <c r="H1639" s="2" t="s">
        <v>2490</v>
      </c>
      <c r="I1639" s="2" t="s">
        <v>6030</v>
      </c>
      <c r="J1639" s="3">
        <v>41867</v>
      </c>
      <c r="K1639" s="2" t="str">
        <f>HYPERLINK("https://docs.wto.org/imrd/directdoc.asp?DDFDocuments/t/G/SPS/NTUR10A2.DOC")</f>
        <v>https://docs.wto.org/imrd/directdoc.asp?DDFDocuments/t/G/SPS/NTUR10A2.DOC</v>
      </c>
      <c r="L1639" s="2" t="str">
        <f>HYPERLINK("https://docs.wto.org/imrd/directdoc.asp?DDFDocuments/u/G/SPS/NTUR10A2.DOC")</f>
        <v>https://docs.wto.org/imrd/directdoc.asp?DDFDocuments/u/G/SPS/NTUR10A2.DOC</v>
      </c>
      <c r="M1639" s="2" t="str">
        <f>HYPERLINK("https://docs.wto.org/imrd/directdoc.asp?DDFDocuments/v/G/SPS/NTUR10A2.DOC")</f>
        <v>https://docs.wto.org/imrd/directdoc.asp?DDFDocuments/v/G/SPS/NTUR10A2.DOC</v>
      </c>
      <c r="N1639" s="2" t="str">
        <f>HYPERLINK("http://www.epingalert.org/#/details/G/SPS/N/TUR/10/Add.2")</f>
        <v>http://www.epingalert.org/#/details/G/SPS/N/TUR/10/Add.2</v>
      </c>
      <c r="O1639" s="2"/>
    </row>
    <row r="1640" spans="1:15" ht="240" customHeight="1" outlineLevel="1" x14ac:dyDescent="0.25">
      <c r="A1640" s="2" t="s">
        <v>185</v>
      </c>
      <c r="B1640" s="2" t="s">
        <v>6031</v>
      </c>
      <c r="C1640" s="2" t="s">
        <v>6032</v>
      </c>
      <c r="D1640" s="2" t="s">
        <v>6033</v>
      </c>
      <c r="E1640" s="3">
        <v>41807</v>
      </c>
      <c r="F1640" s="2" t="s">
        <v>299</v>
      </c>
      <c r="G1640" s="2"/>
      <c r="H1640" s="2" t="s">
        <v>2573</v>
      </c>
      <c r="I1640" s="2" t="s">
        <v>6034</v>
      </c>
      <c r="J1640" s="3">
        <v>41867</v>
      </c>
      <c r="K1640" s="2" t="str">
        <f>HYPERLINK("https://docs.wto.org/imrd/directdoc.asp?DDFDocuments/t/G/SPS/NEGY57.DOC")</f>
        <v>https://docs.wto.org/imrd/directdoc.asp?DDFDocuments/t/G/SPS/NEGY57.DOC</v>
      </c>
      <c r="L1640" s="2" t="str">
        <f>HYPERLINK("https://docs.wto.org/imrd/directdoc.asp?DDFDocuments/u/G/SPS/NEGY57.DOC")</f>
        <v>https://docs.wto.org/imrd/directdoc.asp?DDFDocuments/u/G/SPS/NEGY57.DOC</v>
      </c>
      <c r="M1640" s="2" t="str">
        <f>HYPERLINK("https://docs.wto.org/imrd/directdoc.asp?DDFDocuments/v/G/SPS/NEGY57.DOC")</f>
        <v>https://docs.wto.org/imrd/directdoc.asp?DDFDocuments/v/G/SPS/NEGY57.DOC</v>
      </c>
      <c r="N1640" s="2" t="str">
        <f>HYPERLINK("http://www.epingalert.org/#/details/G/SPS/N/EGY/57")</f>
        <v>http://www.epingalert.org/#/details/G/SPS/N/EGY/57</v>
      </c>
      <c r="O1640" s="2"/>
    </row>
    <row r="1641" spans="1:15" ht="240" customHeight="1" outlineLevel="1" x14ac:dyDescent="0.25">
      <c r="A1641" s="2" t="s">
        <v>18</v>
      </c>
      <c r="B1641" s="2" t="s">
        <v>6026</v>
      </c>
      <c r="C1641" s="2"/>
      <c r="D1641" s="2"/>
      <c r="E1641" s="3">
        <v>41807</v>
      </c>
      <c r="F1641" s="2"/>
      <c r="G1641" s="2" t="s">
        <v>6027</v>
      </c>
      <c r="H1641" s="2" t="s">
        <v>2573</v>
      </c>
      <c r="I1641" s="2" t="s">
        <v>2444</v>
      </c>
      <c r="J1641" s="2"/>
      <c r="K1641" s="2" t="str">
        <f>HYPERLINK("https://docs.wto.org/imrd/directdoc.asp?DDFDocuments/t/G/SPS/NUSA2465A2.DOC")</f>
        <v>https://docs.wto.org/imrd/directdoc.asp?DDFDocuments/t/G/SPS/NUSA2465A2.DOC</v>
      </c>
      <c r="L1641" s="2" t="str">
        <f>HYPERLINK("https://docs.wto.org/imrd/directdoc.asp?DDFDocuments/u/G/SPS/NUSA2465A2.DOC")</f>
        <v>https://docs.wto.org/imrd/directdoc.asp?DDFDocuments/u/G/SPS/NUSA2465A2.DOC</v>
      </c>
      <c r="M1641" s="2" t="str">
        <f>HYPERLINK("https://docs.wto.org/imrd/directdoc.asp?DDFDocuments/v/G/SPS/NUSA2465A2.DOC")</f>
        <v>https://docs.wto.org/imrd/directdoc.asp?DDFDocuments/v/G/SPS/NUSA2465A2.DOC</v>
      </c>
      <c r="N1641" s="2" t="str">
        <f>HYPERLINK("http://www.epingalert.org/#/details/G/SPS/N/USA/2465/Add.2")</f>
        <v>http://www.epingalert.org/#/details/G/SPS/N/USA/2465/Add.2</v>
      </c>
      <c r="O1641" s="2"/>
    </row>
    <row r="1642" spans="1:15" ht="240" customHeight="1" outlineLevel="1" x14ac:dyDescent="0.25">
      <c r="A1642" s="2" t="s">
        <v>128</v>
      </c>
      <c r="B1642" s="2" t="s">
        <v>8414</v>
      </c>
      <c r="C1642" s="2"/>
      <c r="D1642" s="2"/>
      <c r="E1642" s="3">
        <v>41806</v>
      </c>
      <c r="F1642" s="2" t="s">
        <v>7710</v>
      </c>
      <c r="G1642" s="2" t="s">
        <v>8279</v>
      </c>
      <c r="H1642" s="2"/>
      <c r="I1642" s="2" t="s">
        <v>8415</v>
      </c>
      <c r="J1642" s="2"/>
      <c r="K1642" s="2" t="str">
        <f>HYPERLINK("https://docs.wto.org/imrd/directdoc.asp?DDFDocuments/t/G/SPS/NPER542A1.DOC")</f>
        <v>https://docs.wto.org/imrd/directdoc.asp?DDFDocuments/t/G/SPS/NPER542A1.DOC</v>
      </c>
      <c r="L1642" s="2" t="str">
        <f>HYPERLINK("https://docs.wto.org/imrd/directdoc.asp?DDFDocuments/u/G/SPS/NPER542A1.DOC")</f>
        <v>https://docs.wto.org/imrd/directdoc.asp?DDFDocuments/u/G/SPS/NPER542A1.DOC</v>
      </c>
      <c r="M1642" s="2" t="str">
        <f>HYPERLINK("https://docs.wto.org/imrd/directdoc.asp?DDFDocuments/v/G/SPS/NPER542A1.DOC")</f>
        <v>https://docs.wto.org/imrd/directdoc.asp?DDFDocuments/v/G/SPS/NPER542A1.DOC</v>
      </c>
      <c r="N1642" s="2" t="str">
        <f>HYPERLINK("http://www.epingalert.org/#/details/G/SPS/N/PER/542/Add.1")</f>
        <v>http://www.epingalert.org/#/details/G/SPS/N/PER/542/Add.1</v>
      </c>
      <c r="O1642" s="2"/>
    </row>
    <row r="1643" spans="1:15" ht="240" customHeight="1" outlineLevel="1" x14ac:dyDescent="0.25">
      <c r="A1643" s="2" t="s">
        <v>184</v>
      </c>
      <c r="B1643" s="2" t="s">
        <v>8416</v>
      </c>
      <c r="C1643" s="2"/>
      <c r="D1643" s="2"/>
      <c r="E1643" s="3">
        <v>41806</v>
      </c>
      <c r="F1643" s="2" t="s">
        <v>8417</v>
      </c>
      <c r="G1643" s="2" t="s">
        <v>8418</v>
      </c>
      <c r="H1643" s="2" t="s">
        <v>2654</v>
      </c>
      <c r="I1643" s="2" t="s">
        <v>6713</v>
      </c>
      <c r="J1643" s="2"/>
      <c r="K1643" s="2" t="str">
        <f>HYPERLINK("https://docs.wto.org/imrd/directdoc.asp?DDFDocuments/t/G/SPS/NARE32C1.DOC")</f>
        <v>https://docs.wto.org/imrd/directdoc.asp?DDFDocuments/t/G/SPS/NARE32C1.DOC</v>
      </c>
      <c r="L1643" s="2" t="str">
        <f>HYPERLINK("null")</f>
        <v>null</v>
      </c>
      <c r="M1643" s="2" t="str">
        <f>HYPERLINK("null")</f>
        <v>null</v>
      </c>
      <c r="N1643" s="2" t="str">
        <f>HYPERLINK("http://www.epingalert.org/#/details/G/SPS/N/ARE/32/Corr.1")</f>
        <v>http://www.epingalert.org/#/details/G/SPS/N/ARE/32/Corr.1</v>
      </c>
      <c r="O1643" s="2"/>
    </row>
    <row r="1644" spans="1:15" ht="240" customHeight="1" outlineLevel="1" x14ac:dyDescent="0.25">
      <c r="A1644" s="2" t="s">
        <v>1908</v>
      </c>
      <c r="B1644" s="2" t="s">
        <v>6035</v>
      </c>
      <c r="C1644" s="2" t="s">
        <v>6036</v>
      </c>
      <c r="D1644" s="2" t="s">
        <v>6037</v>
      </c>
      <c r="E1644" s="3">
        <v>41803</v>
      </c>
      <c r="F1644" s="2" t="s">
        <v>5642</v>
      </c>
      <c r="G1644" s="2"/>
      <c r="H1644" s="2" t="s">
        <v>2573</v>
      </c>
      <c r="I1644" s="2" t="s">
        <v>6038</v>
      </c>
      <c r="J1644" s="3">
        <v>41871</v>
      </c>
      <c r="K1644" s="2" t="str">
        <f>HYPERLINK("https://docs.wto.org/imrd/directdoc.asp?DDFDocuments/t/G/SPS/NCAN830.DOC")</f>
        <v>https://docs.wto.org/imrd/directdoc.asp?DDFDocuments/t/G/SPS/NCAN830.DOC</v>
      </c>
      <c r="L1644" s="2" t="str">
        <f>HYPERLINK("https://docs.wto.org/imrd/directdoc.asp?DDFDocuments/u/G/SPS/NCAN830.DOC")</f>
        <v>https://docs.wto.org/imrd/directdoc.asp?DDFDocuments/u/G/SPS/NCAN830.DOC</v>
      </c>
      <c r="M1644" s="2" t="str">
        <f>HYPERLINK("https://docs.wto.org/imrd/directdoc.asp?DDFDocuments/v/G/SPS/NCAN830.DOC")</f>
        <v>https://docs.wto.org/imrd/directdoc.asp?DDFDocuments/v/G/SPS/NCAN830.DOC</v>
      </c>
      <c r="N1644" s="2" t="str">
        <f>HYPERLINK("http://www.epingalert.org/#/details/G/SPS/N/CAN/830")</f>
        <v>http://www.epingalert.org/#/details/G/SPS/N/CAN/830</v>
      </c>
      <c r="O1644" s="2"/>
    </row>
    <row r="1645" spans="1:15" ht="240" customHeight="1" outlineLevel="1" x14ac:dyDescent="0.25">
      <c r="A1645" s="2" t="s">
        <v>12</v>
      </c>
      <c r="B1645" s="2" t="s">
        <v>8419</v>
      </c>
      <c r="C1645" s="2"/>
      <c r="D1645" s="2"/>
      <c r="E1645" s="3">
        <v>41802</v>
      </c>
      <c r="F1645" s="2" t="s">
        <v>7958</v>
      </c>
      <c r="G1645" s="2" t="s">
        <v>2039</v>
      </c>
      <c r="H1645" s="2" t="s">
        <v>2467</v>
      </c>
      <c r="I1645" s="2" t="s">
        <v>2444</v>
      </c>
      <c r="J1645" s="2"/>
      <c r="K1645" s="2" t="str">
        <f>HYPERLINK("https://docs.wto.org/imrd/directdoc.asp?DDFDocuments/t/G/SPS/NEU33A4.DOC")</f>
        <v>https://docs.wto.org/imrd/directdoc.asp?DDFDocuments/t/G/SPS/NEU33A4.DOC</v>
      </c>
      <c r="L1645" s="2" t="str">
        <f>HYPERLINK("https://docs.wto.org/imrd/directdoc.asp?DDFDocuments/u/G/SPS/NEU33A4.DOC")</f>
        <v>https://docs.wto.org/imrd/directdoc.asp?DDFDocuments/u/G/SPS/NEU33A4.DOC</v>
      </c>
      <c r="M1645" s="2" t="str">
        <f>HYPERLINK("https://docs.wto.org/imrd/directdoc.asp?DDFDocuments/v/G/SPS/NEU33A4.DOC")</f>
        <v>https://docs.wto.org/imrd/directdoc.asp?DDFDocuments/v/G/SPS/NEU33A4.DOC</v>
      </c>
      <c r="N1645" s="2" t="str">
        <f>HYPERLINK("http://www.epingalert.org/#/details/G/SPS/N/EU/33/Add.4")</f>
        <v>http://www.epingalert.org/#/details/G/SPS/N/EU/33/Add.4</v>
      </c>
      <c r="O1645" s="2"/>
    </row>
    <row r="1646" spans="1:15" ht="240" customHeight="1" outlineLevel="1" x14ac:dyDescent="0.25">
      <c r="A1646" s="2" t="s">
        <v>115</v>
      </c>
      <c r="B1646" s="2" t="s">
        <v>8420</v>
      </c>
      <c r="C1646" s="2" t="s">
        <v>8421</v>
      </c>
      <c r="D1646" s="2" t="s">
        <v>8422</v>
      </c>
      <c r="E1646" s="3">
        <v>41801</v>
      </c>
      <c r="F1646" s="2" t="s">
        <v>8423</v>
      </c>
      <c r="G1646" s="2" t="s">
        <v>8424</v>
      </c>
      <c r="H1646" s="2" t="s">
        <v>2573</v>
      </c>
      <c r="I1646" s="2" t="s">
        <v>2461</v>
      </c>
      <c r="J1646" s="3">
        <v>41861</v>
      </c>
      <c r="K1646" s="2" t="str">
        <f>HYPERLINK("https://docs.wto.org/imrd/directdoc.asp?DDFDocuments/t/G/SPS/NJPN351.DOC")</f>
        <v>https://docs.wto.org/imrd/directdoc.asp?DDFDocuments/t/G/SPS/NJPN351.DOC</v>
      </c>
      <c r="L1646" s="2" t="str">
        <f>HYPERLINK("https://docs.wto.org/imrd/directdoc.asp?DDFDocuments/u/G/SPS/NJPN351.DOC")</f>
        <v>https://docs.wto.org/imrd/directdoc.asp?DDFDocuments/u/G/SPS/NJPN351.DOC</v>
      </c>
      <c r="M1646" s="2" t="str">
        <f>HYPERLINK("https://docs.wto.org/imrd/directdoc.asp?DDFDocuments/v/G/SPS/NJPN351.DOC")</f>
        <v>https://docs.wto.org/imrd/directdoc.asp?DDFDocuments/v/G/SPS/NJPN351.DOC</v>
      </c>
      <c r="N1646" s="2" t="str">
        <f>HYPERLINK("http://www.epingalert.org/#/details/G/SPS/N/JPN/351")</f>
        <v>http://www.epingalert.org/#/details/G/SPS/N/JPN/351</v>
      </c>
      <c r="O1646" s="2"/>
    </row>
    <row r="1647" spans="1:15" ht="240" customHeight="1" outlineLevel="1" x14ac:dyDescent="0.25">
      <c r="A1647" s="2" t="s">
        <v>562</v>
      </c>
      <c r="B1647" s="2" t="s">
        <v>8425</v>
      </c>
      <c r="C1647" s="2"/>
      <c r="D1647" s="2"/>
      <c r="E1647" s="3">
        <v>41796</v>
      </c>
      <c r="F1647" s="2" t="s">
        <v>8426</v>
      </c>
      <c r="G1647" s="2" t="s">
        <v>8427</v>
      </c>
      <c r="H1647" s="2" t="s">
        <v>2454</v>
      </c>
      <c r="I1647" s="2" t="s">
        <v>2491</v>
      </c>
      <c r="J1647" s="2"/>
      <c r="K1647" s="2" t="str">
        <f>HYPERLINK("https://docs.wto.org/imrd/directdoc.asp?DDFDocuments/t/G/SPS/NSGP26A2.DOC")</f>
        <v>https://docs.wto.org/imrd/directdoc.asp?DDFDocuments/t/G/SPS/NSGP26A2.DOC</v>
      </c>
      <c r="L1647" s="2" t="str">
        <f>HYPERLINK("https://docs.wto.org/imrd/directdoc.asp?DDFDocuments/u/G/SPS/NSGP26A2.DOC")</f>
        <v>https://docs.wto.org/imrd/directdoc.asp?DDFDocuments/u/G/SPS/NSGP26A2.DOC</v>
      </c>
      <c r="M1647" s="2" t="str">
        <f>HYPERLINK("https://docs.wto.org/imrd/directdoc.asp?DDFDocuments/v/G/SPS/NSGP26A2.DOC")</f>
        <v>https://docs.wto.org/imrd/directdoc.asp?DDFDocuments/v/G/SPS/NSGP26A2.DOC</v>
      </c>
      <c r="N1647" s="2" t="str">
        <f>HYPERLINK("http://www.epingalert.org/#/details/G/SPS/N/SGP/26/Add.2")</f>
        <v>http://www.epingalert.org/#/details/G/SPS/N/SGP/26/Add.2</v>
      </c>
      <c r="O1647" s="2"/>
    </row>
    <row r="1648" spans="1:15" ht="240" customHeight="1" outlineLevel="1" x14ac:dyDescent="0.25">
      <c r="A1648" s="2" t="s">
        <v>37</v>
      </c>
      <c r="B1648" s="2" t="s">
        <v>6040</v>
      </c>
      <c r="C1648" s="2" t="s">
        <v>6041</v>
      </c>
      <c r="D1648" s="2" t="s">
        <v>6042</v>
      </c>
      <c r="E1648" s="3">
        <v>41795</v>
      </c>
      <c r="F1648" s="2" t="s">
        <v>541</v>
      </c>
      <c r="G1648" s="2" t="s">
        <v>6043</v>
      </c>
      <c r="H1648" s="2" t="s">
        <v>2573</v>
      </c>
      <c r="I1648" s="2" t="s">
        <v>5419</v>
      </c>
      <c r="J1648" s="3">
        <v>41855</v>
      </c>
      <c r="K1648" s="2" t="str">
        <f>HYPERLINK("https://docs.wto.org/imrd/directdoc.asp?DDFDocuments/t/G/SPS/NTUR49.DOC")</f>
        <v>https://docs.wto.org/imrd/directdoc.asp?DDFDocuments/t/G/SPS/NTUR49.DOC</v>
      </c>
      <c r="L1648" s="2" t="str">
        <f>HYPERLINK("https://docs.wto.org/imrd/directdoc.asp?DDFDocuments/u/G/SPS/NTUR49.DOC")</f>
        <v>https://docs.wto.org/imrd/directdoc.asp?DDFDocuments/u/G/SPS/NTUR49.DOC</v>
      </c>
      <c r="M1648" s="2" t="str">
        <f>HYPERLINK("https://docs.wto.org/imrd/directdoc.asp?DDFDocuments/v/G/SPS/NTUR49.DOC")</f>
        <v>https://docs.wto.org/imrd/directdoc.asp?DDFDocuments/v/G/SPS/NTUR49.DOC</v>
      </c>
      <c r="N1648" s="2" t="str">
        <f>HYPERLINK("http://www.epingalert.org/#/details/G/SPS/N/TUR/49")</f>
        <v>http://www.epingalert.org/#/details/G/SPS/N/TUR/49</v>
      </c>
      <c r="O1648" s="2"/>
    </row>
    <row r="1649" spans="1:15" ht="240" customHeight="1" outlineLevel="1" x14ac:dyDescent="0.25">
      <c r="A1649" s="2" t="s">
        <v>380</v>
      </c>
      <c r="B1649" s="2" t="s">
        <v>6044</v>
      </c>
      <c r="C1649" s="2" t="s">
        <v>6045</v>
      </c>
      <c r="D1649" s="2" t="s">
        <v>6046</v>
      </c>
      <c r="E1649" s="3">
        <v>41795</v>
      </c>
      <c r="F1649" s="2" t="s">
        <v>2606</v>
      </c>
      <c r="G1649" s="2" t="s">
        <v>6047</v>
      </c>
      <c r="H1649" s="2" t="s">
        <v>2573</v>
      </c>
      <c r="I1649" s="2" t="s">
        <v>2426</v>
      </c>
      <c r="J1649" s="3">
        <v>41855</v>
      </c>
      <c r="K1649" s="2" t="str">
        <f>HYPERLINK("https://docs.wto.org/imrd/directdoc.asp?DDFDocuments/t/G/SPS/NCHN651.DOC")</f>
        <v>https://docs.wto.org/imrd/directdoc.asp?DDFDocuments/t/G/SPS/NCHN651.DOC</v>
      </c>
      <c r="L1649" s="2" t="str">
        <f>HYPERLINK("https://docs.wto.org/imrd/directdoc.asp?DDFDocuments/u/G/SPS/NCHN651.DOC")</f>
        <v>https://docs.wto.org/imrd/directdoc.asp?DDFDocuments/u/G/SPS/NCHN651.DOC</v>
      </c>
      <c r="M1649" s="2" t="str">
        <f>HYPERLINK("https://docs.wto.org/imrd/directdoc.asp?DDFDocuments/v/G/SPS/NCHN651.DOC")</f>
        <v>https://docs.wto.org/imrd/directdoc.asp?DDFDocuments/v/G/SPS/NCHN651.DOC</v>
      </c>
      <c r="N1649" s="2" t="str">
        <f>HYPERLINK("http://www.epingalert.org/#/details/G/SPS/N/CHN/651")</f>
        <v>http://www.epingalert.org/#/details/G/SPS/N/CHN/651</v>
      </c>
      <c r="O1649" s="2"/>
    </row>
    <row r="1650" spans="1:15" ht="240" customHeight="1" outlineLevel="1" x14ac:dyDescent="0.25">
      <c r="A1650" s="2" t="s">
        <v>1908</v>
      </c>
      <c r="B1650" s="2" t="s">
        <v>6048</v>
      </c>
      <c r="C1650" s="2" t="s">
        <v>6049</v>
      </c>
      <c r="D1650" s="2" t="s">
        <v>6050</v>
      </c>
      <c r="E1650" s="3">
        <v>41795</v>
      </c>
      <c r="F1650" s="2" t="s">
        <v>4191</v>
      </c>
      <c r="G1650" s="2"/>
      <c r="H1650" s="2" t="s">
        <v>2573</v>
      </c>
      <c r="I1650" s="2" t="s">
        <v>2903</v>
      </c>
      <c r="J1650" s="3">
        <v>41851</v>
      </c>
      <c r="K1650" s="2" t="str">
        <f>HYPERLINK("https://docs.wto.org/imrd/directdoc.asp?DDFDocuments/t/G/SPS/NCAN700R1.DOC")</f>
        <v>https://docs.wto.org/imrd/directdoc.asp?DDFDocuments/t/G/SPS/NCAN700R1.DOC</v>
      </c>
      <c r="L1650" s="2" t="str">
        <f>HYPERLINK("https://docs.wto.org/imrd/directdoc.asp?DDFDocuments/u/G/SPS/NCAN700R1.DOC")</f>
        <v>https://docs.wto.org/imrd/directdoc.asp?DDFDocuments/u/G/SPS/NCAN700R1.DOC</v>
      </c>
      <c r="M1650" s="2" t="str">
        <f>HYPERLINK("https://docs.wto.org/imrd/directdoc.asp?DDFDocuments/v/G/SPS/NCAN700R1.DOC")</f>
        <v>https://docs.wto.org/imrd/directdoc.asp?DDFDocuments/v/G/SPS/NCAN700R1.DOC</v>
      </c>
      <c r="N1650" s="2" t="str">
        <f>HYPERLINK("http://www.epingalert.org/#/details/G/SPS/N/CAN/700/Rev.1")</f>
        <v>http://www.epingalert.org/#/details/G/SPS/N/CAN/700/Rev.1</v>
      </c>
      <c r="O1650" s="2"/>
    </row>
    <row r="1651" spans="1:15" ht="240" customHeight="1" outlineLevel="1" x14ac:dyDescent="0.25">
      <c r="A1651" s="2" t="s">
        <v>1908</v>
      </c>
      <c r="B1651" s="2" t="s">
        <v>6039</v>
      </c>
      <c r="C1651" s="2"/>
      <c r="D1651" s="2"/>
      <c r="E1651" s="3">
        <v>41795</v>
      </c>
      <c r="F1651" s="2" t="s">
        <v>5941</v>
      </c>
      <c r="G1651" s="2"/>
      <c r="H1651" s="2" t="s">
        <v>2573</v>
      </c>
      <c r="I1651" s="2" t="s">
        <v>2491</v>
      </c>
      <c r="J1651" s="2"/>
      <c r="K1651" s="2" t="str">
        <f>HYPERLINK("https://docs.wto.org/imrd/directdoc.asp?DDFDocuments/t/G/SPS/NCAN613R1A5C1.DOC")</f>
        <v>https://docs.wto.org/imrd/directdoc.asp?DDFDocuments/t/G/SPS/NCAN613R1A5C1.DOC</v>
      </c>
      <c r="L1651" s="2" t="str">
        <f>HYPERLINK("https://docs.wto.org/imrd/directdoc.asp?DDFDocuments/u/G/SPS/NCAN613R1A5C1.DOC")</f>
        <v>https://docs.wto.org/imrd/directdoc.asp?DDFDocuments/u/G/SPS/NCAN613R1A5C1.DOC</v>
      </c>
      <c r="M1651" s="2" t="str">
        <f>HYPERLINK("https://docs.wto.org/imrd/directdoc.asp?DDFDocuments/v/G/SPS/NCAN613R1A5C1.DOC")</f>
        <v>https://docs.wto.org/imrd/directdoc.asp?DDFDocuments/v/G/SPS/NCAN613R1A5C1.DOC</v>
      </c>
      <c r="N1651" s="2" t="str">
        <f>HYPERLINK("http://www.epingalert.org/#/details/G/SPS/N/CAN/613/Rev.1/Add.5/Corr.1")</f>
        <v>http://www.epingalert.org/#/details/G/SPS/N/CAN/613/Rev.1/Add.5/Corr.1</v>
      </c>
      <c r="O1651" s="2"/>
    </row>
    <row r="1652" spans="1:15" ht="240" customHeight="1" outlineLevel="1" x14ac:dyDescent="0.25">
      <c r="A1652" s="2" t="s">
        <v>1908</v>
      </c>
      <c r="B1652" s="2" t="s">
        <v>6053</v>
      </c>
      <c r="C1652" s="2" t="s">
        <v>6054</v>
      </c>
      <c r="D1652" s="2" t="s">
        <v>6055</v>
      </c>
      <c r="E1652" s="3">
        <v>41794</v>
      </c>
      <c r="F1652" s="2" t="s">
        <v>5711</v>
      </c>
      <c r="G1652" s="2"/>
      <c r="H1652" s="2" t="s">
        <v>2573</v>
      </c>
      <c r="I1652" s="2" t="s">
        <v>2453</v>
      </c>
      <c r="J1652" s="3">
        <v>41854</v>
      </c>
      <c r="K1652" s="2" t="str">
        <f>HYPERLINK("https://docs.wto.org/imrd/directdoc.asp?DDFDocuments/t/G/SPS/NCAN821.DOC")</f>
        <v>https://docs.wto.org/imrd/directdoc.asp?DDFDocuments/t/G/SPS/NCAN821.DOC</v>
      </c>
      <c r="L1652" s="2" t="str">
        <f>HYPERLINK("https://docs.wto.org/imrd/directdoc.asp?DDFDocuments/u/G/SPS/NCAN821.DOC")</f>
        <v>https://docs.wto.org/imrd/directdoc.asp?DDFDocuments/u/G/SPS/NCAN821.DOC</v>
      </c>
      <c r="M1652" s="2" t="str">
        <f>HYPERLINK("https://docs.wto.org/imrd/directdoc.asp?DDFDocuments/v/G/SPS/NCAN821.DOC")</f>
        <v>https://docs.wto.org/imrd/directdoc.asp?DDFDocuments/v/G/SPS/NCAN821.DOC</v>
      </c>
      <c r="N1652" s="2" t="str">
        <f>HYPERLINK("http://www.epingalert.org/#/details/G/SPS/N/CAN/821")</f>
        <v>http://www.epingalert.org/#/details/G/SPS/N/CAN/821</v>
      </c>
      <c r="O1652" s="2"/>
    </row>
    <row r="1653" spans="1:15" ht="240" customHeight="1" outlineLevel="1" x14ac:dyDescent="0.25">
      <c r="A1653" s="2" t="s">
        <v>18</v>
      </c>
      <c r="B1653" s="2" t="s">
        <v>6051</v>
      </c>
      <c r="C1653" s="2"/>
      <c r="D1653" s="2"/>
      <c r="E1653" s="3">
        <v>41794</v>
      </c>
      <c r="F1653" s="2" t="s">
        <v>2972</v>
      </c>
      <c r="G1653" s="2" t="s">
        <v>6052</v>
      </c>
      <c r="H1653" s="2" t="s">
        <v>2573</v>
      </c>
      <c r="I1653" s="2" t="s">
        <v>2672</v>
      </c>
      <c r="J1653" s="3">
        <v>41850</v>
      </c>
      <c r="K1653" s="2" t="str">
        <f>HYPERLINK("https://docs.wto.org/imrd/directdoc.asp?DDFDocuments/t/G/SPS/NUSA2631A1.DOC")</f>
        <v>https://docs.wto.org/imrd/directdoc.asp?DDFDocuments/t/G/SPS/NUSA2631A1.DOC</v>
      </c>
      <c r="L1653" s="2" t="str">
        <f>HYPERLINK("https://docs.wto.org/imrd/directdoc.asp?DDFDocuments/u/G/SPS/NUSA2631A1.DOC")</f>
        <v>https://docs.wto.org/imrd/directdoc.asp?DDFDocuments/u/G/SPS/NUSA2631A1.DOC</v>
      </c>
      <c r="M1653" s="2" t="str">
        <f>HYPERLINK("https://docs.wto.org/imrd/directdoc.asp?DDFDocuments/v/G/SPS/NUSA2631A1.DOC")</f>
        <v>https://docs.wto.org/imrd/directdoc.asp?DDFDocuments/v/G/SPS/NUSA2631A1.DOC</v>
      </c>
      <c r="N1653" s="2" t="str">
        <f>HYPERLINK("http://www.epingalert.org/#/details/G/SPS/N/USA/2631/Add.1")</f>
        <v>http://www.epingalert.org/#/details/G/SPS/N/USA/2631/Add.1</v>
      </c>
      <c r="O1653" s="2"/>
    </row>
    <row r="1654" spans="1:15" ht="240" customHeight="1" outlineLevel="1" x14ac:dyDescent="0.25">
      <c r="A1654" s="2" t="s">
        <v>42</v>
      </c>
      <c r="B1654" s="2" t="s">
        <v>6056</v>
      </c>
      <c r="C1654" s="2" t="s">
        <v>6057</v>
      </c>
      <c r="D1654" s="2" t="s">
        <v>6058</v>
      </c>
      <c r="E1654" s="3">
        <v>41794</v>
      </c>
      <c r="F1654" s="2" t="s">
        <v>6059</v>
      </c>
      <c r="G1654" s="2"/>
      <c r="H1654" s="2" t="s">
        <v>2573</v>
      </c>
      <c r="I1654" s="2" t="s">
        <v>2453</v>
      </c>
      <c r="J1654" s="3">
        <v>41817</v>
      </c>
      <c r="K1654" s="2" t="str">
        <f>HYPERLINK("https://docs.wto.org/imrd/directdoc.asp?DDFDocuments/t/G/SPS/NBRA935.DOC")</f>
        <v>https://docs.wto.org/imrd/directdoc.asp?DDFDocuments/t/G/SPS/NBRA935.DOC</v>
      </c>
      <c r="L1654" s="2" t="str">
        <f>HYPERLINK("https://docs.wto.org/imrd/directdoc.asp?DDFDocuments/u/G/SPS/NBRA935.DOC")</f>
        <v>https://docs.wto.org/imrd/directdoc.asp?DDFDocuments/u/G/SPS/NBRA935.DOC</v>
      </c>
      <c r="M1654" s="2" t="str">
        <f>HYPERLINK("https://docs.wto.org/imrd/directdoc.asp?DDFDocuments/v/G/SPS/NBRA935.DOC")</f>
        <v>https://docs.wto.org/imrd/directdoc.asp?DDFDocuments/v/G/SPS/NBRA935.DOC</v>
      </c>
      <c r="N1654" s="2" t="str">
        <f>HYPERLINK("http://www.epingalert.org/#/details/G/SPS/N/BRA/935")</f>
        <v>http://www.epingalert.org/#/details/G/SPS/N/BRA/935</v>
      </c>
      <c r="O1654" s="2"/>
    </row>
    <row r="1655" spans="1:15" ht="240" customHeight="1" outlineLevel="1" x14ac:dyDescent="0.25">
      <c r="A1655" s="2" t="s">
        <v>42</v>
      </c>
      <c r="B1655" s="2" t="s">
        <v>6060</v>
      </c>
      <c r="C1655" s="2" t="s">
        <v>6061</v>
      </c>
      <c r="D1655" s="2" t="s">
        <v>6062</v>
      </c>
      <c r="E1655" s="3">
        <v>41794</v>
      </c>
      <c r="F1655" s="2" t="s">
        <v>6063</v>
      </c>
      <c r="G1655" s="2"/>
      <c r="H1655" s="2" t="s">
        <v>2573</v>
      </c>
      <c r="I1655" s="2" t="s">
        <v>2453</v>
      </c>
      <c r="J1655" s="3">
        <v>41817</v>
      </c>
      <c r="K1655" s="2" t="str">
        <f>HYPERLINK("https://docs.wto.org/imrd/directdoc.asp?DDFDocuments/t/G/SPS/NBRA934.DOC")</f>
        <v>https://docs.wto.org/imrd/directdoc.asp?DDFDocuments/t/G/SPS/NBRA934.DOC</v>
      </c>
      <c r="L1655" s="2" t="str">
        <f>HYPERLINK("https://docs.wto.org/imrd/directdoc.asp?DDFDocuments/u/G/SPS/NBRA934.DOC")</f>
        <v>https://docs.wto.org/imrd/directdoc.asp?DDFDocuments/u/G/SPS/NBRA934.DOC</v>
      </c>
      <c r="M1655" s="2" t="str">
        <f>HYPERLINK("https://docs.wto.org/imrd/directdoc.asp?DDFDocuments/v/G/SPS/NBRA934.DOC")</f>
        <v>https://docs.wto.org/imrd/directdoc.asp?DDFDocuments/v/G/SPS/NBRA934.DOC</v>
      </c>
      <c r="N1655" s="2" t="str">
        <f>HYPERLINK("http://www.epingalert.org/#/details/G/SPS/N/BRA/934")</f>
        <v>http://www.epingalert.org/#/details/G/SPS/N/BRA/934</v>
      </c>
      <c r="O1655" s="2"/>
    </row>
    <row r="1656" spans="1:15" ht="240" customHeight="1" outlineLevel="1" x14ac:dyDescent="0.25">
      <c r="A1656" s="2" t="s">
        <v>1908</v>
      </c>
      <c r="B1656" s="2" t="s">
        <v>6064</v>
      </c>
      <c r="C1656" s="2" t="s">
        <v>6065</v>
      </c>
      <c r="D1656" s="2" t="s">
        <v>6066</v>
      </c>
      <c r="E1656" s="3">
        <v>41787</v>
      </c>
      <c r="F1656" s="2" t="s">
        <v>5719</v>
      </c>
      <c r="G1656" s="2"/>
      <c r="H1656" s="2" t="s">
        <v>2573</v>
      </c>
      <c r="I1656" s="2" t="s">
        <v>2453</v>
      </c>
      <c r="J1656" s="3">
        <v>41846</v>
      </c>
      <c r="K1656" s="2" t="str">
        <f>HYPERLINK("https://docs.wto.org/imrd/directdoc.asp?DDFDocuments/t/G/SPS/NCAN817.DOC")</f>
        <v>https://docs.wto.org/imrd/directdoc.asp?DDFDocuments/t/G/SPS/NCAN817.DOC</v>
      </c>
      <c r="L1656" s="2" t="str">
        <f>HYPERLINK("https://docs.wto.org/imrd/directdoc.asp?DDFDocuments/u/G/SPS/NCAN817.DOC")</f>
        <v>https://docs.wto.org/imrd/directdoc.asp?DDFDocuments/u/G/SPS/NCAN817.DOC</v>
      </c>
      <c r="M1656" s="2" t="str">
        <f>HYPERLINK("https://docs.wto.org/imrd/directdoc.asp?DDFDocuments/v/G/SPS/NCAN817.DOC")</f>
        <v>https://docs.wto.org/imrd/directdoc.asp?DDFDocuments/v/G/SPS/NCAN817.DOC</v>
      </c>
      <c r="N1656" s="2" t="str">
        <f>HYPERLINK("http://www.epingalert.org/#/details/G/SPS/N/CAN/817")</f>
        <v>http://www.epingalert.org/#/details/G/SPS/N/CAN/817</v>
      </c>
      <c r="O1656" s="2"/>
    </row>
    <row r="1657" spans="1:15" ht="240" customHeight="1" outlineLevel="1" x14ac:dyDescent="0.25">
      <c r="A1657" s="2" t="s">
        <v>37</v>
      </c>
      <c r="B1657" s="2" t="s">
        <v>6070</v>
      </c>
      <c r="C1657" s="2" t="s">
        <v>6071</v>
      </c>
      <c r="D1657" s="2" t="s">
        <v>6072</v>
      </c>
      <c r="E1657" s="3">
        <v>41786</v>
      </c>
      <c r="F1657" s="2" t="s">
        <v>6073</v>
      </c>
      <c r="G1657" s="2"/>
      <c r="H1657" s="2" t="s">
        <v>2573</v>
      </c>
      <c r="I1657" s="2" t="s">
        <v>2461</v>
      </c>
      <c r="J1657" s="3">
        <v>41846</v>
      </c>
      <c r="K1657" s="2" t="str">
        <f>HYPERLINK("https://docs.wto.org/imrd/directdoc.asp?DDFDocuments/t/G/SPS/NTUR46.DOC")</f>
        <v>https://docs.wto.org/imrd/directdoc.asp?DDFDocuments/t/G/SPS/NTUR46.DOC</v>
      </c>
      <c r="L1657" s="2" t="str">
        <f>HYPERLINK("https://docs.wto.org/imrd/directdoc.asp?DDFDocuments/u/G/SPS/NTUR46.DOC")</f>
        <v>https://docs.wto.org/imrd/directdoc.asp?DDFDocuments/u/G/SPS/NTUR46.DOC</v>
      </c>
      <c r="M1657" s="2" t="str">
        <f>HYPERLINK("https://docs.wto.org/imrd/directdoc.asp?DDFDocuments/v/G/SPS/NTUR46.DOC")</f>
        <v>https://docs.wto.org/imrd/directdoc.asp?DDFDocuments/v/G/SPS/NTUR46.DOC</v>
      </c>
      <c r="N1657" s="2" t="str">
        <f>HYPERLINK("http://www.epingalert.org/#/details/G/SPS/N/TUR/46")</f>
        <v>http://www.epingalert.org/#/details/G/SPS/N/TUR/46</v>
      </c>
      <c r="O1657" s="2"/>
    </row>
    <row r="1658" spans="1:15" ht="240" customHeight="1" outlineLevel="1" x14ac:dyDescent="0.25">
      <c r="A1658" s="2" t="s">
        <v>37</v>
      </c>
      <c r="B1658" s="2" t="s">
        <v>6074</v>
      </c>
      <c r="C1658" s="2" t="s">
        <v>6075</v>
      </c>
      <c r="D1658" s="2" t="s">
        <v>6076</v>
      </c>
      <c r="E1658" s="3">
        <v>41786</v>
      </c>
      <c r="F1658" s="2" t="s">
        <v>6077</v>
      </c>
      <c r="G1658" s="2"/>
      <c r="H1658" s="2" t="s">
        <v>2573</v>
      </c>
      <c r="I1658" s="2" t="s">
        <v>2461</v>
      </c>
      <c r="J1658" s="3">
        <v>41846</v>
      </c>
      <c r="K1658" s="2" t="str">
        <f>HYPERLINK("https://docs.wto.org/imrd/directdoc.asp?DDFDocuments/t/G/SPS/NTUR45.DOC")</f>
        <v>https://docs.wto.org/imrd/directdoc.asp?DDFDocuments/t/G/SPS/NTUR45.DOC</v>
      </c>
      <c r="L1658" s="2" t="str">
        <f>HYPERLINK("https://docs.wto.org/imrd/directdoc.asp?DDFDocuments/u/G/SPS/NTUR45.DOC")</f>
        <v>https://docs.wto.org/imrd/directdoc.asp?DDFDocuments/u/G/SPS/NTUR45.DOC</v>
      </c>
      <c r="M1658" s="2" t="str">
        <f>HYPERLINK("https://docs.wto.org/imrd/directdoc.asp?DDFDocuments/v/G/SPS/NTUR45.DOC")</f>
        <v>https://docs.wto.org/imrd/directdoc.asp?DDFDocuments/v/G/SPS/NTUR45.DOC</v>
      </c>
      <c r="N1658" s="2" t="str">
        <f>HYPERLINK("http://www.epingalert.org/#/details/G/SPS/N/TUR/45")</f>
        <v>http://www.epingalert.org/#/details/G/SPS/N/TUR/45</v>
      </c>
      <c r="O1658" s="2"/>
    </row>
    <row r="1659" spans="1:15" ht="240" customHeight="1" outlineLevel="1" x14ac:dyDescent="0.25">
      <c r="A1659" s="2" t="s">
        <v>12</v>
      </c>
      <c r="B1659" s="2" t="s">
        <v>6067</v>
      </c>
      <c r="C1659" s="2" t="s">
        <v>6068</v>
      </c>
      <c r="D1659" s="2" t="s">
        <v>6069</v>
      </c>
      <c r="E1659" s="3">
        <v>41786</v>
      </c>
      <c r="F1659" s="2" t="s">
        <v>3223</v>
      </c>
      <c r="G1659" s="2"/>
      <c r="H1659" s="2" t="s">
        <v>2573</v>
      </c>
      <c r="I1659" s="2" t="s">
        <v>2426</v>
      </c>
      <c r="J1659" s="2"/>
      <c r="K1659" s="2" t="str">
        <f>HYPERLINK("https://docs.wto.org/imrd/directdoc.asp?DDFDocuments/t/G/SPS/NEU77.DOC")</f>
        <v>https://docs.wto.org/imrd/directdoc.asp?DDFDocuments/t/G/SPS/NEU77.DOC</v>
      </c>
      <c r="L1659" s="2" t="str">
        <f>HYPERLINK("https://docs.wto.org/imrd/directdoc.asp?DDFDocuments/u/G/SPS/NEU77.DOC")</f>
        <v>https://docs.wto.org/imrd/directdoc.asp?DDFDocuments/u/G/SPS/NEU77.DOC</v>
      </c>
      <c r="M1659" s="2" t="str">
        <f>HYPERLINK("https://docs.wto.org/imrd/directdoc.asp?DDFDocuments/v/G/SPS/NEU77.DOC")</f>
        <v>https://docs.wto.org/imrd/directdoc.asp?DDFDocuments/v/G/SPS/NEU77.DOC</v>
      </c>
      <c r="N1659" s="2" t="str">
        <f>HYPERLINK("http://www.epingalert.org/#/details/G/SPS/N/EU/77")</f>
        <v>http://www.epingalert.org/#/details/G/SPS/N/EU/77</v>
      </c>
      <c r="O1659" s="2"/>
    </row>
    <row r="1660" spans="1:15" ht="240" customHeight="1" outlineLevel="1" x14ac:dyDescent="0.25">
      <c r="A1660" s="2" t="s">
        <v>77</v>
      </c>
      <c r="B1660" s="2" t="s">
        <v>6078</v>
      </c>
      <c r="C1660" s="2"/>
      <c r="D1660" s="2"/>
      <c r="E1660" s="3">
        <v>41785</v>
      </c>
      <c r="F1660" s="2" t="s">
        <v>221</v>
      </c>
      <c r="G1660" s="2"/>
      <c r="H1660" s="2" t="s">
        <v>2573</v>
      </c>
      <c r="I1660" s="2" t="s">
        <v>2491</v>
      </c>
      <c r="J1660" s="3">
        <v>41800</v>
      </c>
      <c r="K1660" s="2" t="str">
        <f>HYPERLINK("https://docs.wto.org/imrd/directdoc.asp?DDFDocuments/t/G/SPS/NTPKM302A1.DOC")</f>
        <v>https://docs.wto.org/imrd/directdoc.asp?DDFDocuments/t/G/SPS/NTPKM302A1.DOC</v>
      </c>
      <c r="L1660" s="2" t="str">
        <f>HYPERLINK("https://docs.wto.org/imrd/directdoc.asp?DDFDocuments/u/G/SPS/NTPKM302A1.DOC")</f>
        <v>https://docs.wto.org/imrd/directdoc.asp?DDFDocuments/u/G/SPS/NTPKM302A1.DOC</v>
      </c>
      <c r="M1660" s="2" t="str">
        <f>HYPERLINK("https://docs.wto.org/imrd/directdoc.asp?DDFDocuments/v/G/SPS/NTPKM302A1.DOC")</f>
        <v>https://docs.wto.org/imrd/directdoc.asp?DDFDocuments/v/G/SPS/NTPKM302A1.DOC</v>
      </c>
      <c r="N1660" s="2" t="str">
        <f>HYPERLINK("http://www.epingalert.org/#/details/G/SPS/N/TPKM/302/Add.1")</f>
        <v>http://www.epingalert.org/#/details/G/SPS/N/TPKM/302/Add.1</v>
      </c>
      <c r="O1660" s="2"/>
    </row>
    <row r="1661" spans="1:15" ht="240" customHeight="1" outlineLevel="1" x14ac:dyDescent="0.25">
      <c r="A1661" s="2" t="s">
        <v>25</v>
      </c>
      <c r="B1661" s="2" t="s">
        <v>6080</v>
      </c>
      <c r="C1661" s="2" t="s">
        <v>2528</v>
      </c>
      <c r="D1661" s="2" t="s">
        <v>6081</v>
      </c>
      <c r="E1661" s="3">
        <v>41782</v>
      </c>
      <c r="F1661" s="2" t="s">
        <v>299</v>
      </c>
      <c r="G1661" s="2"/>
      <c r="H1661" s="2" t="s">
        <v>2573</v>
      </c>
      <c r="I1661" s="2" t="s">
        <v>6082</v>
      </c>
      <c r="J1661" s="3">
        <v>41842</v>
      </c>
      <c r="K1661" s="2" t="str">
        <f>HYPERLINK("https://docs.wto.org/imrd/directdoc.asp?DDFDocuments/t/G/SPS/NKOR474.DOC")</f>
        <v>https://docs.wto.org/imrd/directdoc.asp?DDFDocuments/t/G/SPS/NKOR474.DOC</v>
      </c>
      <c r="L1661" s="2" t="str">
        <f>HYPERLINK("https://docs.wto.org/imrd/directdoc.asp?DDFDocuments/u/G/SPS/NKOR474.DOC")</f>
        <v>https://docs.wto.org/imrd/directdoc.asp?DDFDocuments/u/G/SPS/NKOR474.DOC</v>
      </c>
      <c r="M1661" s="2" t="str">
        <f>HYPERLINK("https://docs.wto.org/imrd/directdoc.asp?DDFDocuments/v/G/SPS/NKOR474.DOC")</f>
        <v>https://docs.wto.org/imrd/directdoc.asp?DDFDocuments/v/G/SPS/NKOR474.DOC</v>
      </c>
      <c r="N1661" s="2" t="str">
        <f>HYPERLINK("http://www.epingalert.org/#/details/G/SPS/N/KOR/474")</f>
        <v>http://www.epingalert.org/#/details/G/SPS/N/KOR/474</v>
      </c>
      <c r="O1661" s="2"/>
    </row>
    <row r="1662" spans="1:15" ht="240" customHeight="1" outlineLevel="1" x14ac:dyDescent="0.25">
      <c r="A1662" s="2" t="s">
        <v>115</v>
      </c>
      <c r="B1662" s="2" t="s">
        <v>8429</v>
      </c>
      <c r="C1662" s="2" t="s">
        <v>7507</v>
      </c>
      <c r="D1662" s="2" t="s">
        <v>8430</v>
      </c>
      <c r="E1662" s="3">
        <v>41782</v>
      </c>
      <c r="F1662" s="2" t="s">
        <v>8431</v>
      </c>
      <c r="G1662" s="2" t="s">
        <v>8432</v>
      </c>
      <c r="H1662" s="2" t="s">
        <v>2573</v>
      </c>
      <c r="I1662" s="2" t="s">
        <v>2499</v>
      </c>
      <c r="J1662" s="3">
        <v>41842</v>
      </c>
      <c r="K1662" s="2" t="str">
        <f>HYPERLINK("https://docs.wto.org/imrd/directdoc.asp?DDFDocuments/t/G/SPS/NJPN349.DOC")</f>
        <v>https://docs.wto.org/imrd/directdoc.asp?DDFDocuments/t/G/SPS/NJPN349.DOC</v>
      </c>
      <c r="L1662" s="2" t="str">
        <f>HYPERLINK("https://docs.wto.org/imrd/directdoc.asp?DDFDocuments/u/G/SPS/NJPN349.DOC")</f>
        <v>https://docs.wto.org/imrd/directdoc.asp?DDFDocuments/u/G/SPS/NJPN349.DOC</v>
      </c>
      <c r="M1662" s="2" t="str">
        <f>HYPERLINK("https://docs.wto.org/imrd/directdoc.asp?DDFDocuments/v/G/SPS/NJPN349.DOC")</f>
        <v>https://docs.wto.org/imrd/directdoc.asp?DDFDocuments/v/G/SPS/NJPN349.DOC</v>
      </c>
      <c r="N1662" s="2" t="str">
        <f>HYPERLINK("http://www.epingalert.org/#/details/G/SPS/N/JPN/349")</f>
        <v>http://www.epingalert.org/#/details/G/SPS/N/JPN/349</v>
      </c>
      <c r="O1662" s="2"/>
    </row>
    <row r="1663" spans="1:15" ht="240" customHeight="1" outlineLevel="1" x14ac:dyDescent="0.25">
      <c r="A1663" s="2" t="s">
        <v>115</v>
      </c>
      <c r="B1663" s="2" t="s">
        <v>8433</v>
      </c>
      <c r="C1663" s="2" t="s">
        <v>7507</v>
      </c>
      <c r="D1663" s="2" t="s">
        <v>8434</v>
      </c>
      <c r="E1663" s="3">
        <v>41782</v>
      </c>
      <c r="F1663" s="2" t="s">
        <v>6775</v>
      </c>
      <c r="G1663" s="2" t="s">
        <v>8435</v>
      </c>
      <c r="H1663" s="2" t="s">
        <v>2573</v>
      </c>
      <c r="I1663" s="2" t="s">
        <v>2453</v>
      </c>
      <c r="J1663" s="3">
        <v>41842</v>
      </c>
      <c r="K1663" s="2" t="str">
        <f>HYPERLINK("https://docs.wto.org/imrd/directdoc.asp?DDFDocuments/t/G/SPS/NJPN348.DOC")</f>
        <v>https://docs.wto.org/imrd/directdoc.asp?DDFDocuments/t/G/SPS/NJPN348.DOC</v>
      </c>
      <c r="L1663" s="2" t="str">
        <f>HYPERLINK("https://docs.wto.org/imrd/directdoc.asp?DDFDocuments/u/G/SPS/NJPN348.DOC")</f>
        <v>https://docs.wto.org/imrd/directdoc.asp?DDFDocuments/u/G/SPS/NJPN348.DOC</v>
      </c>
      <c r="M1663" s="2" t="str">
        <f>HYPERLINK("https://docs.wto.org/imrd/directdoc.asp?DDFDocuments/v/G/SPS/NJPN348.DOC")</f>
        <v>https://docs.wto.org/imrd/directdoc.asp?DDFDocuments/v/G/SPS/NJPN348.DOC</v>
      </c>
      <c r="N1663" s="2" t="str">
        <f>HYPERLINK("http://www.epingalert.org/#/details/G/SPS/N/JPN/348")</f>
        <v>http://www.epingalert.org/#/details/G/SPS/N/JPN/348</v>
      </c>
      <c r="O1663" s="2"/>
    </row>
    <row r="1664" spans="1:15" ht="240" customHeight="1" outlineLevel="1" x14ac:dyDescent="0.25">
      <c r="A1664" s="2" t="s">
        <v>115</v>
      </c>
      <c r="B1664" s="2" t="s">
        <v>8436</v>
      </c>
      <c r="C1664" s="2" t="s">
        <v>6754</v>
      </c>
      <c r="D1664" s="2" t="s">
        <v>7273</v>
      </c>
      <c r="E1664" s="3">
        <v>41782</v>
      </c>
      <c r="F1664" s="2" t="s">
        <v>6775</v>
      </c>
      <c r="G1664" s="2" t="s">
        <v>8437</v>
      </c>
      <c r="H1664" s="2" t="s">
        <v>2573</v>
      </c>
      <c r="I1664" s="2" t="s">
        <v>2453</v>
      </c>
      <c r="J1664" s="3">
        <v>41842</v>
      </c>
      <c r="K1664" s="2" t="str">
        <f>HYPERLINK("https://docs.wto.org/imrd/directdoc.asp?DDFDocuments/t/G/SPS/NJPN347.DOC")</f>
        <v>https://docs.wto.org/imrd/directdoc.asp?DDFDocuments/t/G/SPS/NJPN347.DOC</v>
      </c>
      <c r="L1664" s="2" t="str">
        <f>HYPERLINK("https://docs.wto.org/imrd/directdoc.asp?DDFDocuments/u/G/SPS/NJPN347.DOC")</f>
        <v>https://docs.wto.org/imrd/directdoc.asp?DDFDocuments/u/G/SPS/NJPN347.DOC</v>
      </c>
      <c r="M1664" s="2" t="str">
        <f>HYPERLINK("https://docs.wto.org/imrd/directdoc.asp?DDFDocuments/v/G/SPS/NJPN347.DOC")</f>
        <v>https://docs.wto.org/imrd/directdoc.asp?DDFDocuments/v/G/SPS/NJPN347.DOC</v>
      </c>
      <c r="N1664" s="2" t="str">
        <f>HYPERLINK("http://www.epingalert.org/#/details/G/SPS/N/JPN/347")</f>
        <v>http://www.epingalert.org/#/details/G/SPS/N/JPN/347</v>
      </c>
      <c r="O1664" s="2"/>
    </row>
    <row r="1665" spans="1:15" ht="240" customHeight="1" outlineLevel="1" x14ac:dyDescent="0.25">
      <c r="A1665" s="2" t="s">
        <v>77</v>
      </c>
      <c r="B1665" s="2" t="s">
        <v>6086</v>
      </c>
      <c r="C1665" s="2" t="s">
        <v>5398</v>
      </c>
      <c r="D1665" s="2" t="s">
        <v>6087</v>
      </c>
      <c r="E1665" s="3">
        <v>41782</v>
      </c>
      <c r="F1665" s="2" t="s">
        <v>2612</v>
      </c>
      <c r="G1665" s="2"/>
      <c r="H1665" s="2" t="s">
        <v>2573</v>
      </c>
      <c r="I1665" s="2" t="s">
        <v>2535</v>
      </c>
      <c r="J1665" s="3">
        <v>41841</v>
      </c>
      <c r="K1665" s="2" t="str">
        <f>HYPERLINK("https://docs.wto.org/imrd/directdoc.asp?DDFDocuments/t/G/SPS/NTPKM314.DOC")</f>
        <v>https://docs.wto.org/imrd/directdoc.asp?DDFDocuments/t/G/SPS/NTPKM314.DOC</v>
      </c>
      <c r="L1665" s="2" t="str">
        <f>HYPERLINK("https://docs.wto.org/imrd/directdoc.asp?DDFDocuments/u/G/SPS/NTPKM314.DOC")</f>
        <v>https://docs.wto.org/imrd/directdoc.asp?DDFDocuments/u/G/SPS/NTPKM314.DOC</v>
      </c>
      <c r="M1665" s="2" t="str">
        <f>HYPERLINK("https://docs.wto.org/imrd/directdoc.asp?DDFDocuments/v/G/SPS/NTPKM314.DOC")</f>
        <v>https://docs.wto.org/imrd/directdoc.asp?DDFDocuments/v/G/SPS/NTPKM314.DOC</v>
      </c>
      <c r="N1665" s="2" t="str">
        <f>HYPERLINK("http://www.epingalert.org/#/details/G/SPS/N/TPKM/314")</f>
        <v>http://www.epingalert.org/#/details/G/SPS/N/TPKM/314</v>
      </c>
      <c r="O1665" s="2"/>
    </row>
    <row r="1666" spans="1:15" ht="240" customHeight="1" outlineLevel="1" x14ac:dyDescent="0.25">
      <c r="A1666" s="2" t="s">
        <v>1908</v>
      </c>
      <c r="B1666" s="2" t="s">
        <v>6079</v>
      </c>
      <c r="C1666" s="2"/>
      <c r="D1666" s="2"/>
      <c r="E1666" s="3">
        <v>41782</v>
      </c>
      <c r="F1666" s="2" t="s">
        <v>5941</v>
      </c>
      <c r="G1666" s="2"/>
      <c r="H1666" s="2" t="s">
        <v>2573</v>
      </c>
      <c r="I1666" s="2" t="s">
        <v>2491</v>
      </c>
      <c r="J1666" s="3">
        <v>41838</v>
      </c>
      <c r="K1666" s="2" t="str">
        <f>HYPERLINK("https://docs.wto.org/imrd/directdoc.asp?DDFDocuments/t/G/SPS/NCAN613R1A5.DOC")</f>
        <v>https://docs.wto.org/imrd/directdoc.asp?DDFDocuments/t/G/SPS/NCAN613R1A5.DOC</v>
      </c>
      <c r="L1666" s="2" t="str">
        <f>HYPERLINK("https://docs.wto.org/imrd/directdoc.asp?DDFDocuments/u/G/SPS/NCAN613R1A5.DOC")</f>
        <v>https://docs.wto.org/imrd/directdoc.asp?DDFDocuments/u/G/SPS/NCAN613R1A5.DOC</v>
      </c>
      <c r="M1666" s="2" t="str">
        <f>HYPERLINK("https://docs.wto.org/imrd/directdoc.asp?DDFDocuments/v/G/SPS/NCAN613R1A5.DOC")</f>
        <v>https://docs.wto.org/imrd/directdoc.asp?DDFDocuments/v/G/SPS/NCAN613R1A5.DOC</v>
      </c>
      <c r="N1666" s="2" t="str">
        <f>HYPERLINK("http://www.epingalert.org/#/details/G/SPS/N/CAN/613/Rev.1/Add.5")</f>
        <v>http://www.epingalert.org/#/details/G/SPS/N/CAN/613/Rev.1/Add.5</v>
      </c>
      <c r="O1666" s="2"/>
    </row>
    <row r="1667" spans="1:15" ht="240" customHeight="1" outlineLevel="1" x14ac:dyDescent="0.25">
      <c r="A1667" s="2" t="s">
        <v>115</v>
      </c>
      <c r="B1667" s="2" t="s">
        <v>6083</v>
      </c>
      <c r="C1667" s="2" t="s">
        <v>2997</v>
      </c>
      <c r="D1667" s="2" t="s">
        <v>6084</v>
      </c>
      <c r="E1667" s="3">
        <v>41782</v>
      </c>
      <c r="F1667" s="2" t="s">
        <v>6085</v>
      </c>
      <c r="G1667" s="2"/>
      <c r="H1667" s="2" t="s">
        <v>2573</v>
      </c>
      <c r="I1667" s="2" t="s">
        <v>2426</v>
      </c>
      <c r="J1667" s="2"/>
      <c r="K1667" s="2" t="str">
        <f>HYPERLINK("https://docs.wto.org/imrd/directdoc.asp?DDFDocuments/t/G/SPS/NJPN350.DOC")</f>
        <v>https://docs.wto.org/imrd/directdoc.asp?DDFDocuments/t/G/SPS/NJPN350.DOC</v>
      </c>
      <c r="L1667" s="2" t="str">
        <f>HYPERLINK("https://docs.wto.org/imrd/directdoc.asp?DDFDocuments/u/G/SPS/NJPN350.DOC")</f>
        <v>https://docs.wto.org/imrd/directdoc.asp?DDFDocuments/u/G/SPS/NJPN350.DOC</v>
      </c>
      <c r="M1667" s="2" t="str">
        <f>HYPERLINK("https://docs.wto.org/imrd/directdoc.asp?DDFDocuments/v/G/SPS/NJPN350.DOC")</f>
        <v>https://docs.wto.org/imrd/directdoc.asp?DDFDocuments/v/G/SPS/NJPN350.DOC</v>
      </c>
      <c r="N1667" s="2" t="str">
        <f>HYPERLINK("http://www.epingalert.org/#/details/G/SPS/N/JPN/350")</f>
        <v>http://www.epingalert.org/#/details/G/SPS/N/JPN/350</v>
      </c>
      <c r="O1667" s="2"/>
    </row>
    <row r="1668" spans="1:15" ht="240" customHeight="1" outlineLevel="1" x14ac:dyDescent="0.25">
      <c r="A1668" s="2" t="s">
        <v>1042</v>
      </c>
      <c r="B1668" s="2" t="s">
        <v>8438</v>
      </c>
      <c r="C1668" s="2" t="s">
        <v>8439</v>
      </c>
      <c r="D1668" s="2" t="s">
        <v>8440</v>
      </c>
      <c r="E1668" s="3">
        <v>41781</v>
      </c>
      <c r="F1668" s="2" t="s">
        <v>8441</v>
      </c>
      <c r="G1668" s="2" t="s">
        <v>2923</v>
      </c>
      <c r="H1668" s="2" t="s">
        <v>2573</v>
      </c>
      <c r="I1668" s="2" t="s">
        <v>2644</v>
      </c>
      <c r="J1668" s="3">
        <v>41841</v>
      </c>
      <c r="K1668" s="2" t="str">
        <f>HYPERLINK("https://docs.wto.org/imrd/directdoc.asp?DDFDocuments/t/G/SPS/NPHL254.DOC")</f>
        <v>https://docs.wto.org/imrd/directdoc.asp?DDFDocuments/t/G/SPS/NPHL254.DOC</v>
      </c>
      <c r="L1668" s="2" t="str">
        <f>HYPERLINK("https://docs.wto.org/imrd/directdoc.asp?DDFDocuments/u/G/SPS/NPHL254.DOC")</f>
        <v>https://docs.wto.org/imrd/directdoc.asp?DDFDocuments/u/G/SPS/NPHL254.DOC</v>
      </c>
      <c r="M1668" s="2" t="str">
        <f>HYPERLINK("https://docs.wto.org/imrd/directdoc.asp?DDFDocuments/v/G/SPS/NPHL254.DOC")</f>
        <v>https://docs.wto.org/imrd/directdoc.asp?DDFDocuments/v/G/SPS/NPHL254.DOC</v>
      </c>
      <c r="N1668" s="2" t="str">
        <f>HYPERLINK("http://www.epingalert.org/#/details/G/SPS/N/PHL/254")</f>
        <v>http://www.epingalert.org/#/details/G/SPS/N/PHL/254</v>
      </c>
      <c r="O1668" s="2"/>
    </row>
    <row r="1669" spans="1:15" ht="240" customHeight="1" outlineLevel="1" x14ac:dyDescent="0.25">
      <c r="A1669" s="2" t="s">
        <v>128</v>
      </c>
      <c r="B1669" s="2" t="s">
        <v>8442</v>
      </c>
      <c r="C1669" s="2" t="s">
        <v>8443</v>
      </c>
      <c r="D1669" s="2" t="s">
        <v>8444</v>
      </c>
      <c r="E1669" s="3">
        <v>41781</v>
      </c>
      <c r="F1669" s="2" t="s">
        <v>8445</v>
      </c>
      <c r="G1669" s="2" t="s">
        <v>7151</v>
      </c>
      <c r="H1669" s="2" t="s">
        <v>6741</v>
      </c>
      <c r="I1669" s="2" t="s">
        <v>8446</v>
      </c>
      <c r="J1669" s="2"/>
      <c r="K1669" s="2" t="str">
        <f>HYPERLINK("https://docs.wto.org/imrd/directdoc.asp?DDFDocuments/t/G/SPS/NPER542.DOC")</f>
        <v>https://docs.wto.org/imrd/directdoc.asp?DDFDocuments/t/G/SPS/NPER542.DOC</v>
      </c>
      <c r="L1669" s="2" t="str">
        <f>HYPERLINK("https://docs.wto.org/imrd/directdoc.asp?DDFDocuments/u/G/SPS/NPER542.DOC")</f>
        <v>https://docs.wto.org/imrd/directdoc.asp?DDFDocuments/u/G/SPS/NPER542.DOC</v>
      </c>
      <c r="M1669" s="2" t="str">
        <f>HYPERLINK("https://docs.wto.org/imrd/directdoc.asp?DDFDocuments/v/G/SPS/NPER542.DOC")</f>
        <v>https://docs.wto.org/imrd/directdoc.asp?DDFDocuments/v/G/SPS/NPER542.DOC</v>
      </c>
      <c r="N1669" s="2" t="str">
        <f>HYPERLINK("http://www.epingalert.org/#/details/G/SPS/N/PER/542")</f>
        <v>http://www.epingalert.org/#/details/G/SPS/N/PER/542</v>
      </c>
      <c r="O1669" s="2"/>
    </row>
    <row r="1670" spans="1:15" ht="240" customHeight="1" outlineLevel="1" x14ac:dyDescent="0.25">
      <c r="A1670" s="2" t="s">
        <v>646</v>
      </c>
      <c r="B1670" s="2" t="s">
        <v>6088</v>
      </c>
      <c r="C1670" s="2" t="s">
        <v>6089</v>
      </c>
      <c r="D1670" s="2" t="s">
        <v>6090</v>
      </c>
      <c r="E1670" s="3">
        <v>41774</v>
      </c>
      <c r="F1670" s="2" t="s">
        <v>46</v>
      </c>
      <c r="G1670" s="2"/>
      <c r="H1670" s="2" t="s">
        <v>2573</v>
      </c>
      <c r="I1670" s="2" t="s">
        <v>2453</v>
      </c>
      <c r="J1670" s="3">
        <v>41834</v>
      </c>
      <c r="K1670" s="2" t="str">
        <f>HYPERLINK("https://docs.wto.org/imrd/directdoc.asp?DDFDocuments/t/G/SPS/NVNM55.DOC")</f>
        <v>https://docs.wto.org/imrd/directdoc.asp?DDFDocuments/t/G/SPS/NVNM55.DOC</v>
      </c>
      <c r="L1670" s="2" t="str">
        <f>HYPERLINK("https://docs.wto.org/imrd/directdoc.asp?DDFDocuments/u/G/SPS/NVNM55.DOC")</f>
        <v>https://docs.wto.org/imrd/directdoc.asp?DDFDocuments/u/G/SPS/NVNM55.DOC</v>
      </c>
      <c r="M1670" s="2" t="str">
        <f>HYPERLINK("https://docs.wto.org/imrd/directdoc.asp?DDFDocuments/v/G/SPS/NVNM55.DOC")</f>
        <v>https://docs.wto.org/imrd/directdoc.asp?DDFDocuments/v/G/SPS/NVNM55.DOC</v>
      </c>
      <c r="N1670" s="2" t="str">
        <f>HYPERLINK("http://www.epingalert.org/#/details/G/SPS/N/VNM/55")</f>
        <v>http://www.epingalert.org/#/details/G/SPS/N/VNM/55</v>
      </c>
      <c r="O1670" s="2"/>
    </row>
    <row r="1671" spans="1:15" ht="240" customHeight="1" outlineLevel="1" x14ac:dyDescent="0.25">
      <c r="A1671" s="2" t="s">
        <v>25</v>
      </c>
      <c r="B1671" s="2" t="s">
        <v>6091</v>
      </c>
      <c r="C1671" s="2" t="s">
        <v>6092</v>
      </c>
      <c r="D1671" s="2" t="s">
        <v>6093</v>
      </c>
      <c r="E1671" s="3">
        <v>41774</v>
      </c>
      <c r="F1671" s="2" t="s">
        <v>6094</v>
      </c>
      <c r="G1671" s="2"/>
      <c r="H1671" s="2" t="s">
        <v>2573</v>
      </c>
      <c r="I1671" s="2" t="s">
        <v>2461</v>
      </c>
      <c r="J1671" s="3">
        <v>41834</v>
      </c>
      <c r="K1671" s="2" t="str">
        <f>HYPERLINK("https://docs.wto.org/imrd/directdoc.asp?DDFDocuments/t/G/SPS/NKOR473.DOC")</f>
        <v>https://docs.wto.org/imrd/directdoc.asp?DDFDocuments/t/G/SPS/NKOR473.DOC</v>
      </c>
      <c r="L1671" s="2" t="str">
        <f>HYPERLINK("https://docs.wto.org/imrd/directdoc.asp?DDFDocuments/u/G/SPS/NKOR473.DOC")</f>
        <v>https://docs.wto.org/imrd/directdoc.asp?DDFDocuments/u/G/SPS/NKOR473.DOC</v>
      </c>
      <c r="M1671" s="2" t="str">
        <f>HYPERLINK("https://docs.wto.org/imrd/directdoc.asp?DDFDocuments/v/G/SPS/NKOR473.DOC")</f>
        <v>https://docs.wto.org/imrd/directdoc.asp?DDFDocuments/v/G/SPS/NKOR473.DOC</v>
      </c>
      <c r="N1671" s="2" t="str">
        <f>HYPERLINK("http://www.epingalert.org/#/details/G/SPS/N/KOR/473")</f>
        <v>http://www.epingalert.org/#/details/G/SPS/N/KOR/473</v>
      </c>
      <c r="O1671" s="2"/>
    </row>
    <row r="1672" spans="1:15" ht="240" customHeight="1" outlineLevel="1" x14ac:dyDescent="0.25">
      <c r="A1672" s="2" t="s">
        <v>115</v>
      </c>
      <c r="B1672" s="2" t="s">
        <v>6095</v>
      </c>
      <c r="C1672" s="2" t="s">
        <v>2622</v>
      </c>
      <c r="D1672" s="2" t="s">
        <v>6096</v>
      </c>
      <c r="E1672" s="3">
        <v>41772</v>
      </c>
      <c r="F1672" s="2" t="s">
        <v>6097</v>
      </c>
      <c r="G1672" s="2"/>
      <c r="H1672" s="2" t="s">
        <v>2573</v>
      </c>
      <c r="I1672" s="2" t="s">
        <v>2426</v>
      </c>
      <c r="J1672" s="2"/>
      <c r="K1672" s="2" t="str">
        <f>HYPERLINK("https://docs.wto.org/imrd/directdoc.asp?DDFDocuments/t/G/SPS/NJPN346.DOC")</f>
        <v>https://docs.wto.org/imrd/directdoc.asp?DDFDocuments/t/G/SPS/NJPN346.DOC</v>
      </c>
      <c r="L1672" s="2" t="str">
        <f>HYPERLINK("https://docs.wto.org/imrd/directdoc.asp?DDFDocuments/u/G/SPS/NJPN346.DOC")</f>
        <v>https://docs.wto.org/imrd/directdoc.asp?DDFDocuments/u/G/SPS/NJPN346.DOC</v>
      </c>
      <c r="M1672" s="2" t="str">
        <f>HYPERLINK("https://docs.wto.org/imrd/directdoc.asp?DDFDocuments/v/G/SPS/NJPN346.DOC")</f>
        <v>https://docs.wto.org/imrd/directdoc.asp?DDFDocuments/v/G/SPS/NJPN346.DOC</v>
      </c>
      <c r="N1672" s="2" t="str">
        <f>HYPERLINK("http://www.epingalert.org/#/details/G/SPS/N/JPN/346")</f>
        <v>http://www.epingalert.org/#/details/G/SPS/N/JPN/346</v>
      </c>
      <c r="O1672" s="2"/>
    </row>
    <row r="1673" spans="1:15" ht="240" customHeight="1" outlineLevel="1" x14ac:dyDescent="0.25">
      <c r="A1673" s="2" t="s">
        <v>1902</v>
      </c>
      <c r="B1673" s="2" t="s">
        <v>8447</v>
      </c>
      <c r="C1673" s="2"/>
      <c r="D1673" s="2"/>
      <c r="E1673" s="3">
        <v>41772</v>
      </c>
      <c r="F1673" s="2" t="s">
        <v>8448</v>
      </c>
      <c r="G1673" s="2" t="s">
        <v>2039</v>
      </c>
      <c r="H1673" s="2" t="s">
        <v>2648</v>
      </c>
      <c r="I1673" s="2" t="s">
        <v>2444</v>
      </c>
      <c r="J1673" s="2"/>
      <c r="K1673" s="2" t="str">
        <f>HYPERLINK("https://docs.wto.org/imrd/directdoc.asp?DDFDocuments/t/G/SPS/NARG161A1.DOC")</f>
        <v>https://docs.wto.org/imrd/directdoc.asp?DDFDocuments/t/G/SPS/NARG161A1.DOC</v>
      </c>
      <c r="L1673" s="2" t="str">
        <f>HYPERLINK("https://docs.wto.org/imrd/directdoc.asp?DDFDocuments/u/G/SPS/NARG161A1.DOC")</f>
        <v>https://docs.wto.org/imrd/directdoc.asp?DDFDocuments/u/G/SPS/NARG161A1.DOC</v>
      </c>
      <c r="M1673" s="2" t="str">
        <f>HYPERLINK("https://docs.wto.org/imrd/directdoc.asp?DDFDocuments/v/G/SPS/NARG161A1.DOC")</f>
        <v>https://docs.wto.org/imrd/directdoc.asp?DDFDocuments/v/G/SPS/NARG161A1.DOC</v>
      </c>
      <c r="N1673" s="2" t="str">
        <f>HYPERLINK("http://www.epingalert.org/#/details/G/SPS/N/ARG/161/Add.1")</f>
        <v>http://www.epingalert.org/#/details/G/SPS/N/ARG/161/Add.1</v>
      </c>
      <c r="O1673" s="2"/>
    </row>
    <row r="1674" spans="1:15" ht="240" customHeight="1" outlineLevel="1" x14ac:dyDescent="0.25">
      <c r="A1674" s="2" t="s">
        <v>37</v>
      </c>
      <c r="B1674" s="2" t="s">
        <v>8449</v>
      </c>
      <c r="C1674" s="2" t="s">
        <v>8450</v>
      </c>
      <c r="D1674" s="2" t="s">
        <v>2363</v>
      </c>
      <c r="E1674" s="3">
        <v>41771</v>
      </c>
      <c r="F1674" s="2" t="s">
        <v>8451</v>
      </c>
      <c r="G1674" s="2" t="s">
        <v>8452</v>
      </c>
      <c r="H1674" s="2" t="s">
        <v>2573</v>
      </c>
      <c r="I1674" s="2" t="s">
        <v>2461</v>
      </c>
      <c r="J1674" s="3">
        <v>41831</v>
      </c>
      <c r="K1674" s="2" t="str">
        <f>HYPERLINK("https://docs.wto.org/imrd/directdoc.asp?DDFDocuments/t/G/SPS/NTUR44.DOC")</f>
        <v>https://docs.wto.org/imrd/directdoc.asp?DDFDocuments/t/G/SPS/NTUR44.DOC</v>
      </c>
      <c r="L1674" s="2" t="str">
        <f>HYPERLINK("https://docs.wto.org/imrd/directdoc.asp?DDFDocuments/u/G/SPS/NTUR44.DOC")</f>
        <v>https://docs.wto.org/imrd/directdoc.asp?DDFDocuments/u/G/SPS/NTUR44.DOC</v>
      </c>
      <c r="M1674" s="2" t="str">
        <f>HYPERLINK("https://docs.wto.org/imrd/directdoc.asp?DDFDocuments/v/G/SPS/NTUR44.DOC")</f>
        <v>https://docs.wto.org/imrd/directdoc.asp?DDFDocuments/v/G/SPS/NTUR44.DOC</v>
      </c>
      <c r="N1674" s="2" t="str">
        <f>HYPERLINK("http://www.epingalert.org/#/details/G/SPS/N/TUR/44")</f>
        <v>http://www.epingalert.org/#/details/G/SPS/N/TUR/44</v>
      </c>
      <c r="O1674" s="2"/>
    </row>
    <row r="1675" spans="1:15" ht="240" customHeight="1" outlineLevel="1" x14ac:dyDescent="0.25">
      <c r="A1675" s="2" t="s">
        <v>37</v>
      </c>
      <c r="B1675" s="2" t="s">
        <v>8453</v>
      </c>
      <c r="C1675" s="2" t="s">
        <v>8454</v>
      </c>
      <c r="D1675" s="2" t="s">
        <v>8455</v>
      </c>
      <c r="E1675" s="3">
        <v>41771</v>
      </c>
      <c r="F1675" s="2" t="s">
        <v>8456</v>
      </c>
      <c r="G1675" s="2" t="s">
        <v>2262</v>
      </c>
      <c r="H1675" s="2" t="s">
        <v>2573</v>
      </c>
      <c r="I1675" s="2" t="s">
        <v>2461</v>
      </c>
      <c r="J1675" s="3">
        <v>41831</v>
      </c>
      <c r="K1675" s="2" t="str">
        <f>HYPERLINK("https://docs.wto.org/imrd/directdoc.asp?DDFDocuments/t/G/SPS/NTUR43.DOC")</f>
        <v>https://docs.wto.org/imrd/directdoc.asp?DDFDocuments/t/G/SPS/NTUR43.DOC</v>
      </c>
      <c r="L1675" s="2" t="str">
        <f>HYPERLINK("https://docs.wto.org/imrd/directdoc.asp?DDFDocuments/u/G/SPS/NTUR43.DOC")</f>
        <v>https://docs.wto.org/imrd/directdoc.asp?DDFDocuments/u/G/SPS/NTUR43.DOC</v>
      </c>
      <c r="M1675" s="2" t="str">
        <f>HYPERLINK("https://docs.wto.org/imrd/directdoc.asp?DDFDocuments/v/G/SPS/NTUR43.DOC")</f>
        <v>https://docs.wto.org/imrd/directdoc.asp?DDFDocuments/v/G/SPS/NTUR43.DOC</v>
      </c>
      <c r="N1675" s="2" t="str">
        <f>HYPERLINK("http://www.epingalert.org/#/details/G/SPS/N/TUR/43")</f>
        <v>http://www.epingalert.org/#/details/G/SPS/N/TUR/43</v>
      </c>
      <c r="O1675" s="2"/>
    </row>
    <row r="1676" spans="1:15" ht="240" customHeight="1" outlineLevel="1" x14ac:dyDescent="0.25">
      <c r="A1676" s="2" t="s">
        <v>12</v>
      </c>
      <c r="B1676" s="2" t="s">
        <v>6098</v>
      </c>
      <c r="C1676" s="2" t="s">
        <v>6099</v>
      </c>
      <c r="D1676" s="2" t="s">
        <v>6100</v>
      </c>
      <c r="E1676" s="3">
        <v>41771</v>
      </c>
      <c r="F1676" s="2" t="s">
        <v>4633</v>
      </c>
      <c r="G1676" s="2" t="s">
        <v>6101</v>
      </c>
      <c r="H1676" s="2" t="s">
        <v>2573</v>
      </c>
      <c r="I1676" s="2" t="s">
        <v>2597</v>
      </c>
      <c r="J1676" s="3">
        <v>41817</v>
      </c>
      <c r="K1676" s="2" t="str">
        <f>HYPERLINK("https://docs.wto.org/imrd/directdoc.asp?DDFDocuments/t/G/SPS/NEU75.DOC")</f>
        <v>https://docs.wto.org/imrd/directdoc.asp?DDFDocuments/t/G/SPS/NEU75.DOC</v>
      </c>
      <c r="L1676" s="2" t="str">
        <f>HYPERLINK("https://docs.wto.org/imrd/directdoc.asp?DDFDocuments/u/G/SPS/NEU75.DOC")</f>
        <v>https://docs.wto.org/imrd/directdoc.asp?DDFDocuments/u/G/SPS/NEU75.DOC</v>
      </c>
      <c r="M1676" s="2" t="str">
        <f>HYPERLINK("https://docs.wto.org/imrd/directdoc.asp?DDFDocuments/v/G/SPS/NEU75.DOC")</f>
        <v>https://docs.wto.org/imrd/directdoc.asp?DDFDocuments/v/G/SPS/NEU75.DOC</v>
      </c>
      <c r="N1676" s="2" t="str">
        <f>HYPERLINK("http://www.epingalert.org/#/details/G/SPS/N/EU/75")</f>
        <v>http://www.epingalert.org/#/details/G/SPS/N/EU/75</v>
      </c>
      <c r="O1676" s="2"/>
    </row>
    <row r="1677" spans="1:15" ht="240" customHeight="1" outlineLevel="1" x14ac:dyDescent="0.25">
      <c r="A1677" s="2" t="s">
        <v>225</v>
      </c>
      <c r="B1677" s="2" t="s">
        <v>6105</v>
      </c>
      <c r="C1677" s="2" t="s">
        <v>6106</v>
      </c>
      <c r="D1677" s="2" t="s">
        <v>2494</v>
      </c>
      <c r="E1677" s="3">
        <v>41768</v>
      </c>
      <c r="F1677" s="2" t="s">
        <v>2430</v>
      </c>
      <c r="G1677" s="2"/>
      <c r="H1677" s="2" t="s">
        <v>2573</v>
      </c>
      <c r="I1677" s="2" t="s">
        <v>2431</v>
      </c>
      <c r="J1677" s="3">
        <v>41830</v>
      </c>
      <c r="K1677" s="2" t="str">
        <f>HYPERLINK("https://docs.wto.org/imrd/directdoc.asp?DDFDocuments/t/G/SPS/NAUS339.DOC")</f>
        <v>https://docs.wto.org/imrd/directdoc.asp?DDFDocuments/t/G/SPS/NAUS339.DOC</v>
      </c>
      <c r="L1677" s="2" t="str">
        <f>HYPERLINK("https://docs.wto.org/imrd/directdoc.asp?DDFDocuments/u/G/SPS/NAUS339.DOC")</f>
        <v>https://docs.wto.org/imrd/directdoc.asp?DDFDocuments/u/G/SPS/NAUS339.DOC</v>
      </c>
      <c r="M1677" s="2" t="str">
        <f>HYPERLINK("https://docs.wto.org/imrd/directdoc.asp?DDFDocuments/v/G/SPS/NAUS339.DOC")</f>
        <v>https://docs.wto.org/imrd/directdoc.asp?DDFDocuments/v/G/SPS/NAUS339.DOC</v>
      </c>
      <c r="N1677" s="2" t="str">
        <f>HYPERLINK("http://www.epingalert.org/#/details/G/SPS/N/AUS/339")</f>
        <v>http://www.epingalert.org/#/details/G/SPS/N/AUS/339</v>
      </c>
      <c r="O1677" s="2"/>
    </row>
    <row r="1678" spans="1:15" ht="240" customHeight="1" outlineLevel="1" x14ac:dyDescent="0.25">
      <c r="A1678" s="2" t="s">
        <v>646</v>
      </c>
      <c r="B1678" s="2" t="s">
        <v>6102</v>
      </c>
      <c r="C1678" s="2" t="s">
        <v>6103</v>
      </c>
      <c r="D1678" s="2" t="s">
        <v>6104</v>
      </c>
      <c r="E1678" s="3">
        <v>41768</v>
      </c>
      <c r="F1678" s="2" t="s">
        <v>2606</v>
      </c>
      <c r="G1678" s="2"/>
      <c r="H1678" s="2" t="s">
        <v>2573</v>
      </c>
      <c r="I1678" s="2" t="s">
        <v>2426</v>
      </c>
      <c r="J1678" s="3">
        <v>41828</v>
      </c>
      <c r="K1678" s="2" t="str">
        <f>HYPERLINK("https://docs.wto.org/imrd/directdoc.asp?DDFDocuments/t/G/SPS/NVNM54.DOC")</f>
        <v>https://docs.wto.org/imrd/directdoc.asp?DDFDocuments/t/G/SPS/NVNM54.DOC</v>
      </c>
      <c r="L1678" s="2" t="str">
        <f>HYPERLINK("https://docs.wto.org/imrd/directdoc.asp?DDFDocuments/u/G/SPS/NVNM54.DOC")</f>
        <v>https://docs.wto.org/imrd/directdoc.asp?DDFDocuments/u/G/SPS/NVNM54.DOC</v>
      </c>
      <c r="M1678" s="2" t="str">
        <f>HYPERLINK("https://docs.wto.org/imrd/directdoc.asp?DDFDocuments/v/G/SPS/NVNM54.DOC")</f>
        <v>https://docs.wto.org/imrd/directdoc.asp?DDFDocuments/v/G/SPS/NVNM54.DOC</v>
      </c>
      <c r="N1678" s="2" t="str">
        <f>HYPERLINK("http://www.epingalert.org/#/details/G/SPS/N/VNM/54")</f>
        <v>http://www.epingalert.org/#/details/G/SPS/N/VNM/54</v>
      </c>
      <c r="O1678" s="2"/>
    </row>
    <row r="1679" spans="1:15" ht="240" customHeight="1" outlineLevel="1" x14ac:dyDescent="0.25">
      <c r="A1679" s="2" t="s">
        <v>128</v>
      </c>
      <c r="B1679" s="2" t="s">
        <v>8457</v>
      </c>
      <c r="C1679" s="2" t="s">
        <v>8458</v>
      </c>
      <c r="D1679" s="2" t="s">
        <v>8459</v>
      </c>
      <c r="E1679" s="3">
        <v>41767</v>
      </c>
      <c r="F1679" s="2" t="s">
        <v>8460</v>
      </c>
      <c r="G1679" s="2" t="s">
        <v>6736</v>
      </c>
      <c r="H1679" s="2" t="s">
        <v>2467</v>
      </c>
      <c r="I1679" s="2" t="s">
        <v>2467</v>
      </c>
      <c r="J1679" s="3">
        <v>41827</v>
      </c>
      <c r="K1679" s="2" t="str">
        <f>HYPERLINK("https://docs.wto.org/imrd/directdoc.asp?DDFDocuments/t/G/SPS/NPER537.DOC")</f>
        <v>https://docs.wto.org/imrd/directdoc.asp?DDFDocuments/t/G/SPS/NPER537.DOC</v>
      </c>
      <c r="L1679" s="2" t="str">
        <f>HYPERLINK("https://docs.wto.org/imrd/directdoc.asp?DDFDocuments/u/G/SPS/NPER537.DOC")</f>
        <v>https://docs.wto.org/imrd/directdoc.asp?DDFDocuments/u/G/SPS/NPER537.DOC</v>
      </c>
      <c r="M1679" s="2" t="str">
        <f>HYPERLINK("https://docs.wto.org/imrd/directdoc.asp?DDFDocuments/v/G/SPS/NPER537.DOC")</f>
        <v>https://docs.wto.org/imrd/directdoc.asp?DDFDocuments/v/G/SPS/NPER537.DOC</v>
      </c>
      <c r="N1679" s="2" t="str">
        <f>HYPERLINK("http://www.epingalert.org/#/details/G/SPS/N/PER/537")</f>
        <v>http://www.epingalert.org/#/details/G/SPS/N/PER/537</v>
      </c>
      <c r="O1679" s="2"/>
    </row>
    <row r="1680" spans="1:15" ht="240" customHeight="1" outlineLevel="1" x14ac:dyDescent="0.25">
      <c r="A1680" s="2" t="s">
        <v>18</v>
      </c>
      <c r="B1680" s="2" t="s">
        <v>8461</v>
      </c>
      <c r="C1680" s="2"/>
      <c r="D1680" s="2"/>
      <c r="E1680" s="3">
        <v>41766</v>
      </c>
      <c r="F1680" s="2" t="s">
        <v>8462</v>
      </c>
      <c r="G1680" s="2" t="s">
        <v>8463</v>
      </c>
      <c r="H1680" s="2" t="s">
        <v>6741</v>
      </c>
      <c r="I1680" s="2" t="s">
        <v>2444</v>
      </c>
      <c r="J1680" s="2"/>
      <c r="K1680" s="2" t="str">
        <f>HYPERLINK("https://docs.wto.org/imrd/directdoc.asp?DDFDocuments/t/G/SPS/NUSA2576A1.DOC")</f>
        <v>https://docs.wto.org/imrd/directdoc.asp?DDFDocuments/t/G/SPS/NUSA2576A1.DOC</v>
      </c>
      <c r="L1680" s="2" t="str">
        <f>HYPERLINK("https://docs.wto.org/imrd/directdoc.asp?DDFDocuments/u/G/SPS/NUSA2576A1.DOC")</f>
        <v>https://docs.wto.org/imrd/directdoc.asp?DDFDocuments/u/G/SPS/NUSA2576A1.DOC</v>
      </c>
      <c r="M1680" s="2" t="str">
        <f>HYPERLINK("https://docs.wto.org/imrd/directdoc.asp?DDFDocuments/v/G/SPS/NUSA2576A1.DOC")</f>
        <v>https://docs.wto.org/imrd/directdoc.asp?DDFDocuments/v/G/SPS/NUSA2576A1.DOC</v>
      </c>
      <c r="N1680" s="2" t="str">
        <f>HYPERLINK("http://www.epingalert.org/#/details/G/SPS/N/USA/2576/Add.1")</f>
        <v>http://www.epingalert.org/#/details/G/SPS/N/USA/2576/Add.1</v>
      </c>
      <c r="O1680" s="2"/>
    </row>
    <row r="1681" spans="1:15" ht="240" customHeight="1" outlineLevel="1" x14ac:dyDescent="0.25">
      <c r="A1681" s="2" t="s">
        <v>179</v>
      </c>
      <c r="B1681" s="2" t="s">
        <v>6107</v>
      </c>
      <c r="C1681" s="2" t="s">
        <v>6108</v>
      </c>
      <c r="D1681" s="2" t="s">
        <v>6109</v>
      </c>
      <c r="E1681" s="3">
        <v>41765</v>
      </c>
      <c r="F1681" s="2" t="s">
        <v>6110</v>
      </c>
      <c r="G1681" s="2" t="s">
        <v>3481</v>
      </c>
      <c r="H1681" s="2" t="s">
        <v>2573</v>
      </c>
      <c r="I1681" s="2" t="s">
        <v>4496</v>
      </c>
      <c r="J1681" s="3">
        <v>41825</v>
      </c>
      <c r="K1681" s="2" t="str">
        <f>HYPERLINK("https://docs.wto.org/imrd/directdoc.asp?DDFDocuments/t/G/SPS/NOMN51.DOC")</f>
        <v>https://docs.wto.org/imrd/directdoc.asp?DDFDocuments/t/G/SPS/NOMN51.DOC</v>
      </c>
      <c r="L1681" s="2" t="str">
        <f>HYPERLINK("https://docs.wto.org/imrd/directdoc.asp?DDFDocuments/u/G/SPS/NOMN51.DOC")</f>
        <v>https://docs.wto.org/imrd/directdoc.asp?DDFDocuments/u/G/SPS/NOMN51.DOC</v>
      </c>
      <c r="M1681" s="2" t="str">
        <f>HYPERLINK("https://docs.wto.org/imrd/directdoc.asp?DDFDocuments/v/G/SPS/NOMN51.DOC")</f>
        <v>https://docs.wto.org/imrd/directdoc.asp?DDFDocuments/v/G/SPS/NOMN51.DOC</v>
      </c>
      <c r="N1681" s="2" t="str">
        <f>HYPERLINK("http://www.epingalert.org/#/details/G/SPS/N/OMN/51")</f>
        <v>http://www.epingalert.org/#/details/G/SPS/N/OMN/51</v>
      </c>
      <c r="O1681" s="2"/>
    </row>
    <row r="1682" spans="1:15" ht="240" customHeight="1" outlineLevel="1" x14ac:dyDescent="0.25">
      <c r="A1682" s="2" t="s">
        <v>179</v>
      </c>
      <c r="B1682" s="2" t="s">
        <v>6550</v>
      </c>
      <c r="C1682" s="2" t="s">
        <v>6551</v>
      </c>
      <c r="D1682" s="2" t="s">
        <v>6552</v>
      </c>
      <c r="E1682" s="3">
        <v>41765</v>
      </c>
      <c r="F1682" s="2" t="s">
        <v>1584</v>
      </c>
      <c r="G1682" s="2" t="s">
        <v>2049</v>
      </c>
      <c r="H1682" s="2" t="s">
        <v>2573</v>
      </c>
      <c r="I1682" s="2" t="s">
        <v>6545</v>
      </c>
      <c r="J1682" s="3">
        <v>41825</v>
      </c>
      <c r="K1682" s="2" t="str">
        <f>HYPERLINK("https://docs.wto.org/imrd/directdoc.asp?DDFDocuments/t/G/SPS/NOMN53.DOC")</f>
        <v>https://docs.wto.org/imrd/directdoc.asp?DDFDocuments/t/G/SPS/NOMN53.DOC</v>
      </c>
      <c r="L1682" s="2" t="str">
        <f>HYPERLINK("https://docs.wto.org/imrd/directdoc.asp?DDFDocuments/u/G/SPS/NOMN53.DOC")</f>
        <v>https://docs.wto.org/imrd/directdoc.asp?DDFDocuments/u/G/SPS/NOMN53.DOC</v>
      </c>
      <c r="M1682" s="2" t="str">
        <f>HYPERLINK("https://docs.wto.org/imrd/directdoc.asp?DDFDocuments/v/G/SPS/NOMN53.DOC")</f>
        <v>https://docs.wto.org/imrd/directdoc.asp?DDFDocuments/v/G/SPS/NOMN53.DOC</v>
      </c>
      <c r="N1682" s="2" t="str">
        <f>HYPERLINK("http://www.epingalert.org/#/details/G/SPS/N/OMN/53")</f>
        <v>http://www.epingalert.org/#/details/G/SPS/N/OMN/53</v>
      </c>
      <c r="O1682" s="2"/>
    </row>
    <row r="1683" spans="1:15" ht="240" customHeight="1" outlineLevel="1" x14ac:dyDescent="0.25">
      <c r="A1683" s="2" t="s">
        <v>179</v>
      </c>
      <c r="B1683" s="2" t="s">
        <v>6553</v>
      </c>
      <c r="C1683" s="2" t="s">
        <v>1592</v>
      </c>
      <c r="D1683" s="2" t="s">
        <v>6554</v>
      </c>
      <c r="E1683" s="3">
        <v>41765</v>
      </c>
      <c r="F1683" s="2" t="s">
        <v>6555</v>
      </c>
      <c r="G1683" s="2" t="s">
        <v>2049</v>
      </c>
      <c r="H1683" s="2" t="s">
        <v>2573</v>
      </c>
      <c r="I1683" s="2" t="s">
        <v>6556</v>
      </c>
      <c r="J1683" s="3">
        <v>41825</v>
      </c>
      <c r="K1683" s="2" t="str">
        <f>HYPERLINK("https://docs.wto.org/imrd/directdoc.asp?DDFDocuments/t/G/SPS/NOMN48.DOC")</f>
        <v>https://docs.wto.org/imrd/directdoc.asp?DDFDocuments/t/G/SPS/NOMN48.DOC</v>
      </c>
      <c r="L1683" s="2" t="str">
        <f>HYPERLINK("https://docs.wto.org/imrd/directdoc.asp?DDFDocuments/u/G/SPS/NOMN48.DOC")</f>
        <v>https://docs.wto.org/imrd/directdoc.asp?DDFDocuments/u/G/SPS/NOMN48.DOC</v>
      </c>
      <c r="M1683" s="2" t="str">
        <f>HYPERLINK("https://docs.wto.org/imrd/directdoc.asp?DDFDocuments/v/G/SPS/NOMN48.DOC")</f>
        <v>https://docs.wto.org/imrd/directdoc.asp?DDFDocuments/v/G/SPS/NOMN48.DOC</v>
      </c>
      <c r="N1683" s="2" t="str">
        <f>HYPERLINK("http://www.epingalert.org/#/details/G/SPS/N/OMN/48")</f>
        <v>http://www.epingalert.org/#/details/G/SPS/N/OMN/48</v>
      </c>
      <c r="O1683" s="2"/>
    </row>
    <row r="1684" spans="1:15" ht="240" customHeight="1" outlineLevel="1" x14ac:dyDescent="0.25">
      <c r="A1684" s="2" t="s">
        <v>179</v>
      </c>
      <c r="B1684" s="2" t="s">
        <v>8464</v>
      </c>
      <c r="C1684" s="2" t="s">
        <v>8465</v>
      </c>
      <c r="D1684" s="2" t="s">
        <v>8466</v>
      </c>
      <c r="E1684" s="3">
        <v>41765</v>
      </c>
      <c r="F1684" s="2" t="s">
        <v>8467</v>
      </c>
      <c r="G1684" s="2" t="s">
        <v>8468</v>
      </c>
      <c r="H1684" s="2" t="s">
        <v>2573</v>
      </c>
      <c r="I1684" s="2" t="s">
        <v>2461</v>
      </c>
      <c r="J1684" s="3">
        <v>41825</v>
      </c>
      <c r="K1684" s="2" t="str">
        <f>HYPERLINK("https://docs.wto.org/imrd/directdoc.asp?DDFDocuments/t/G/SPS/NOMN50.DOC")</f>
        <v>https://docs.wto.org/imrd/directdoc.asp?DDFDocuments/t/G/SPS/NOMN50.DOC</v>
      </c>
      <c r="L1684" s="2" t="str">
        <f>HYPERLINK("https://docs.wto.org/imrd/directdoc.asp?DDFDocuments/u/G/SPS/NOMN50.DOC")</f>
        <v>https://docs.wto.org/imrd/directdoc.asp?DDFDocuments/u/G/SPS/NOMN50.DOC</v>
      </c>
      <c r="M1684" s="2" t="str">
        <f>HYPERLINK("https://docs.wto.org/imrd/directdoc.asp?DDFDocuments/v/G/SPS/NOMN50.DOC")</f>
        <v>https://docs.wto.org/imrd/directdoc.asp?DDFDocuments/v/G/SPS/NOMN50.DOC</v>
      </c>
      <c r="N1684" s="2" t="str">
        <f>HYPERLINK("http://www.epingalert.org/#/details/G/SPS/N/OMN/50")</f>
        <v>http://www.epingalert.org/#/details/G/SPS/N/OMN/50</v>
      </c>
      <c r="O1684" s="2"/>
    </row>
    <row r="1685" spans="1:15" ht="240" customHeight="1" outlineLevel="1" x14ac:dyDescent="0.25">
      <c r="A1685" s="2" t="s">
        <v>179</v>
      </c>
      <c r="B1685" s="2" t="s">
        <v>8469</v>
      </c>
      <c r="C1685" s="2" t="s">
        <v>8470</v>
      </c>
      <c r="D1685" s="2" t="s">
        <v>8471</v>
      </c>
      <c r="E1685" s="3">
        <v>41765</v>
      </c>
      <c r="F1685" s="2" t="s">
        <v>8472</v>
      </c>
      <c r="G1685" s="2" t="s">
        <v>1972</v>
      </c>
      <c r="H1685" s="2" t="s">
        <v>2573</v>
      </c>
      <c r="I1685" s="2" t="s">
        <v>3482</v>
      </c>
      <c r="J1685" s="3">
        <v>41825</v>
      </c>
      <c r="K1685" s="2" t="str">
        <f>HYPERLINK("https://docs.wto.org/imrd/directdoc.asp?DDFDocuments/t/G/SPS/NOMN49.DOC")</f>
        <v>https://docs.wto.org/imrd/directdoc.asp?DDFDocuments/t/G/SPS/NOMN49.DOC</v>
      </c>
      <c r="L1685" s="2" t="str">
        <f>HYPERLINK("https://docs.wto.org/imrd/directdoc.asp?DDFDocuments/u/G/SPS/NOMN49.DOC")</f>
        <v>https://docs.wto.org/imrd/directdoc.asp?DDFDocuments/u/G/SPS/NOMN49.DOC</v>
      </c>
      <c r="M1685" s="2" t="str">
        <f>HYPERLINK("https://docs.wto.org/imrd/directdoc.asp?DDFDocuments/v/G/SPS/NOMN49.DOC")</f>
        <v>https://docs.wto.org/imrd/directdoc.asp?DDFDocuments/v/G/SPS/NOMN49.DOC</v>
      </c>
      <c r="N1685" s="2" t="str">
        <f>HYPERLINK("http://www.epingalert.org/#/details/G/SPS/N/OMN/49")</f>
        <v>http://www.epingalert.org/#/details/G/SPS/N/OMN/49</v>
      </c>
      <c r="O1685" s="2"/>
    </row>
    <row r="1686" spans="1:15" ht="240" customHeight="1" outlineLevel="1" x14ac:dyDescent="0.25">
      <c r="A1686" s="2" t="s">
        <v>444</v>
      </c>
      <c r="B1686" s="2" t="s">
        <v>8473</v>
      </c>
      <c r="C1686" s="2" t="s">
        <v>8474</v>
      </c>
      <c r="D1686" s="2" t="s">
        <v>8475</v>
      </c>
      <c r="E1686" s="3">
        <v>41765</v>
      </c>
      <c r="F1686" s="2" t="s">
        <v>8476</v>
      </c>
      <c r="G1686" s="2" t="s">
        <v>7893</v>
      </c>
      <c r="H1686" s="2" t="s">
        <v>2573</v>
      </c>
      <c r="I1686" s="2" t="s">
        <v>2426</v>
      </c>
      <c r="J1686" s="3">
        <v>41825</v>
      </c>
      <c r="K1686" s="2" t="str">
        <f>HYPERLINK("https://docs.wto.org/imrd/directdoc.asp?DDFDocuments/t/G/SPS/NMYS31.DOC")</f>
        <v>https://docs.wto.org/imrd/directdoc.asp?DDFDocuments/t/G/SPS/NMYS31.DOC</v>
      </c>
      <c r="L1686" s="2" t="str">
        <f>HYPERLINK("https://docs.wto.org/imrd/directdoc.asp?DDFDocuments/u/G/SPS/NMYS31.DOC")</f>
        <v>https://docs.wto.org/imrd/directdoc.asp?DDFDocuments/u/G/SPS/NMYS31.DOC</v>
      </c>
      <c r="M1686" s="2" t="str">
        <f>HYPERLINK("https://docs.wto.org/imrd/directdoc.asp?DDFDocuments/v/G/SPS/NMYS31.DOC")</f>
        <v>https://docs.wto.org/imrd/directdoc.asp?DDFDocuments/v/G/SPS/NMYS31.DOC</v>
      </c>
      <c r="N1686" s="2" t="str">
        <f>HYPERLINK("http://www.epingalert.org/#/details/G/SPS/N/MYS/31")</f>
        <v>http://www.epingalert.org/#/details/G/SPS/N/MYS/31</v>
      </c>
      <c r="O1686" s="2"/>
    </row>
    <row r="1687" spans="1:15" ht="240" customHeight="1" outlineLevel="1" x14ac:dyDescent="0.25">
      <c r="A1687" s="2" t="s">
        <v>444</v>
      </c>
      <c r="B1687" s="2" t="s">
        <v>8477</v>
      </c>
      <c r="C1687" s="2" t="s">
        <v>8478</v>
      </c>
      <c r="D1687" s="2" t="s">
        <v>8479</v>
      </c>
      <c r="E1687" s="3">
        <v>41765</v>
      </c>
      <c r="F1687" s="2" t="s">
        <v>8480</v>
      </c>
      <c r="G1687" s="2" t="s">
        <v>2790</v>
      </c>
      <c r="H1687" s="2" t="s">
        <v>2573</v>
      </c>
      <c r="I1687" s="2" t="s">
        <v>2461</v>
      </c>
      <c r="J1687" s="3">
        <v>41825</v>
      </c>
      <c r="K1687" s="2" t="str">
        <f>HYPERLINK("https://docs.wto.org/imrd/directdoc.asp?DDFDocuments/t/G/SPS/NMYS30.DOC")</f>
        <v>https://docs.wto.org/imrd/directdoc.asp?DDFDocuments/t/G/SPS/NMYS30.DOC</v>
      </c>
      <c r="L1687" s="2" t="str">
        <f>HYPERLINK("https://docs.wto.org/imrd/directdoc.asp?DDFDocuments/u/G/SPS/NMYS30.DOC")</f>
        <v>https://docs.wto.org/imrd/directdoc.asp?DDFDocuments/u/G/SPS/NMYS30.DOC</v>
      </c>
      <c r="M1687" s="2" t="str">
        <f>HYPERLINK("https://docs.wto.org/imrd/directdoc.asp?DDFDocuments/v/G/SPS/NMYS30.DOC")</f>
        <v>https://docs.wto.org/imrd/directdoc.asp?DDFDocuments/v/G/SPS/NMYS30.DOC</v>
      </c>
      <c r="N1687" s="2" t="str">
        <f>HYPERLINK("http://www.epingalert.org/#/details/G/SPS/N/MYS/30")</f>
        <v>http://www.epingalert.org/#/details/G/SPS/N/MYS/30</v>
      </c>
      <c r="O1687" s="2"/>
    </row>
    <row r="1688" spans="1:15" ht="240" customHeight="1" outlineLevel="1" x14ac:dyDescent="0.25">
      <c r="A1688" s="2" t="s">
        <v>444</v>
      </c>
      <c r="B1688" s="2" t="s">
        <v>8481</v>
      </c>
      <c r="C1688" s="2" t="s">
        <v>8482</v>
      </c>
      <c r="D1688" s="2" t="s">
        <v>8483</v>
      </c>
      <c r="E1688" s="3">
        <v>41765</v>
      </c>
      <c r="F1688" s="2" t="s">
        <v>8484</v>
      </c>
      <c r="G1688" s="2" t="s">
        <v>7875</v>
      </c>
      <c r="H1688" s="2" t="s">
        <v>2573</v>
      </c>
      <c r="I1688" s="2" t="s">
        <v>2426</v>
      </c>
      <c r="J1688" s="3">
        <v>41825</v>
      </c>
      <c r="K1688" s="2" t="str">
        <f>HYPERLINK("https://docs.wto.org/imrd/directdoc.asp?DDFDocuments/t/G/SPS/NMYS29.DOC")</f>
        <v>https://docs.wto.org/imrd/directdoc.asp?DDFDocuments/t/G/SPS/NMYS29.DOC</v>
      </c>
      <c r="L1688" s="2" t="str">
        <f>HYPERLINK("https://docs.wto.org/imrd/directdoc.asp?DDFDocuments/u/G/SPS/NMYS29.DOC")</f>
        <v>https://docs.wto.org/imrd/directdoc.asp?DDFDocuments/u/G/SPS/NMYS29.DOC</v>
      </c>
      <c r="M1688" s="2" t="str">
        <f>HYPERLINK("https://docs.wto.org/imrd/directdoc.asp?DDFDocuments/v/G/SPS/NMYS29.DOC")</f>
        <v>https://docs.wto.org/imrd/directdoc.asp?DDFDocuments/v/G/SPS/NMYS29.DOC</v>
      </c>
      <c r="N1688" s="2" t="str">
        <f>HYPERLINK("http://www.epingalert.org/#/details/G/SPS/N/MYS/29")</f>
        <v>http://www.epingalert.org/#/details/G/SPS/N/MYS/29</v>
      </c>
      <c r="O1688" s="2"/>
    </row>
    <row r="1689" spans="1:15" ht="240" customHeight="1" outlineLevel="1" x14ac:dyDescent="0.25">
      <c r="A1689" s="2" t="s">
        <v>8396</v>
      </c>
      <c r="B1689" s="2" t="s">
        <v>8485</v>
      </c>
      <c r="C1689" s="2" t="s">
        <v>8486</v>
      </c>
      <c r="D1689" s="2" t="s">
        <v>8487</v>
      </c>
      <c r="E1689" s="3">
        <v>41765</v>
      </c>
      <c r="F1689" s="2" t="s">
        <v>8488</v>
      </c>
      <c r="G1689" s="2" t="s">
        <v>8489</v>
      </c>
      <c r="H1689" s="2" t="s">
        <v>2648</v>
      </c>
      <c r="I1689" s="2" t="s">
        <v>8490</v>
      </c>
      <c r="J1689" s="3">
        <v>41825</v>
      </c>
      <c r="K1689" s="2" t="str">
        <f>HYPERLINK("https://docs.wto.org/imrd/directdoc.asp?DDFDocuments/t/G/SPS/NHND52.DOC")</f>
        <v>https://docs.wto.org/imrd/directdoc.asp?DDFDocuments/t/G/SPS/NHND52.DOC</v>
      </c>
      <c r="L1689" s="2" t="str">
        <f>HYPERLINK("https://docs.wto.org/imrd/directdoc.asp?DDFDocuments/u/G/SPS/NHND52.DOC")</f>
        <v>https://docs.wto.org/imrd/directdoc.asp?DDFDocuments/u/G/SPS/NHND52.DOC</v>
      </c>
      <c r="M1689" s="2" t="str">
        <f>HYPERLINK("https://docs.wto.org/imrd/directdoc.asp?DDFDocuments/v/G/SPS/NHND52.DOC")</f>
        <v>https://docs.wto.org/imrd/directdoc.asp?DDFDocuments/v/G/SPS/NHND52.DOC</v>
      </c>
      <c r="N1689" s="2" t="str">
        <f>HYPERLINK("http://www.epingalert.org/#/details/G/SPS/N/HND/52")</f>
        <v>http://www.epingalert.org/#/details/G/SPS/N/HND/52</v>
      </c>
      <c r="O1689" s="2"/>
    </row>
    <row r="1690" spans="1:15" ht="240" customHeight="1" outlineLevel="1" x14ac:dyDescent="0.25">
      <c r="A1690" s="2" t="s">
        <v>1908</v>
      </c>
      <c r="B1690" s="2" t="s">
        <v>6111</v>
      </c>
      <c r="C1690" s="2" t="s">
        <v>6112</v>
      </c>
      <c r="D1690" s="2" t="s">
        <v>6113</v>
      </c>
      <c r="E1690" s="3">
        <v>41764</v>
      </c>
      <c r="F1690" s="2" t="s">
        <v>5693</v>
      </c>
      <c r="G1690" s="2"/>
      <c r="H1690" s="2" t="s">
        <v>2573</v>
      </c>
      <c r="I1690" s="2" t="s">
        <v>2453</v>
      </c>
      <c r="J1690" s="3">
        <v>41827</v>
      </c>
      <c r="K1690" s="2" t="str">
        <f>HYPERLINK("https://docs.wto.org/imrd/directdoc.asp?DDFDocuments/t/G/SPS/NCAN811.DOC")</f>
        <v>https://docs.wto.org/imrd/directdoc.asp?DDFDocuments/t/G/SPS/NCAN811.DOC</v>
      </c>
      <c r="L1690" s="2" t="str">
        <f>HYPERLINK("https://docs.wto.org/imrd/directdoc.asp?DDFDocuments/u/G/SPS/NCAN811.DOC")</f>
        <v>https://docs.wto.org/imrd/directdoc.asp?DDFDocuments/u/G/SPS/NCAN811.DOC</v>
      </c>
      <c r="M1690" s="2" t="str">
        <f>HYPERLINK("https://docs.wto.org/imrd/directdoc.asp?DDFDocuments/v/G/SPS/NCAN811.DOC")</f>
        <v>https://docs.wto.org/imrd/directdoc.asp?DDFDocuments/v/G/SPS/NCAN811.DOC</v>
      </c>
      <c r="N1690" s="2" t="str">
        <f>HYPERLINK("http://www.epingalert.org/#/details/G/SPS/N/CAN/811")</f>
        <v>http://www.epingalert.org/#/details/G/SPS/N/CAN/811</v>
      </c>
      <c r="O1690" s="2"/>
    </row>
    <row r="1691" spans="1:15" ht="240" customHeight="1" outlineLevel="1" x14ac:dyDescent="0.25">
      <c r="A1691" s="2" t="s">
        <v>115</v>
      </c>
      <c r="B1691" s="2" t="s">
        <v>8493</v>
      </c>
      <c r="C1691" s="2" t="s">
        <v>6754</v>
      </c>
      <c r="D1691" s="2" t="s">
        <v>8494</v>
      </c>
      <c r="E1691" s="3">
        <v>41764</v>
      </c>
      <c r="F1691" s="2" t="s">
        <v>8495</v>
      </c>
      <c r="G1691" s="2" t="s">
        <v>8496</v>
      </c>
      <c r="H1691" s="2" t="s">
        <v>2573</v>
      </c>
      <c r="I1691" s="2" t="s">
        <v>2499</v>
      </c>
      <c r="J1691" s="3">
        <v>41824</v>
      </c>
      <c r="K1691" s="2" t="str">
        <f>HYPERLINK("https://docs.wto.org/imrd/directdoc.asp?DDFDocuments/t/G/SPS/NJPN344.DOC")</f>
        <v>https://docs.wto.org/imrd/directdoc.asp?DDFDocuments/t/G/SPS/NJPN344.DOC</v>
      </c>
      <c r="L1691" s="2" t="str">
        <f>HYPERLINK("https://docs.wto.org/imrd/directdoc.asp?DDFDocuments/u/G/SPS/NJPN344.DOC")</f>
        <v>https://docs.wto.org/imrd/directdoc.asp?DDFDocuments/u/G/SPS/NJPN344.DOC</v>
      </c>
      <c r="M1691" s="2" t="str">
        <f>HYPERLINK("https://docs.wto.org/imrd/directdoc.asp?DDFDocuments/v/G/SPS/NJPN344.DOC")</f>
        <v>https://docs.wto.org/imrd/directdoc.asp?DDFDocuments/v/G/SPS/NJPN344.DOC</v>
      </c>
      <c r="N1691" s="2" t="str">
        <f>HYPERLINK("http://www.epingalert.org/#/details/G/SPS/N/JPN/344")</f>
        <v>http://www.epingalert.org/#/details/G/SPS/N/JPN/344</v>
      </c>
      <c r="O1691" s="2"/>
    </row>
    <row r="1692" spans="1:15" ht="240" customHeight="1" outlineLevel="1" x14ac:dyDescent="0.25">
      <c r="A1692" s="2" t="s">
        <v>115</v>
      </c>
      <c r="B1692" s="2" t="s">
        <v>8497</v>
      </c>
      <c r="C1692" s="2" t="s">
        <v>6754</v>
      </c>
      <c r="D1692" s="2" t="s">
        <v>8498</v>
      </c>
      <c r="E1692" s="3">
        <v>41764</v>
      </c>
      <c r="F1692" s="2" t="s">
        <v>8499</v>
      </c>
      <c r="G1692" s="2" t="s">
        <v>8500</v>
      </c>
      <c r="H1692" s="2" t="s">
        <v>2573</v>
      </c>
      <c r="I1692" s="2" t="s">
        <v>2453</v>
      </c>
      <c r="J1692" s="3">
        <v>41824</v>
      </c>
      <c r="K1692" s="2" t="str">
        <f>HYPERLINK("https://docs.wto.org/imrd/directdoc.asp?DDFDocuments/t/G/SPS/NJPN343.DOC")</f>
        <v>https://docs.wto.org/imrd/directdoc.asp?DDFDocuments/t/G/SPS/NJPN343.DOC</v>
      </c>
      <c r="L1692" s="2" t="str">
        <f>HYPERLINK("https://docs.wto.org/imrd/directdoc.asp?DDFDocuments/u/G/SPS/NJPN343.DOC")</f>
        <v>https://docs.wto.org/imrd/directdoc.asp?DDFDocuments/u/G/SPS/NJPN343.DOC</v>
      </c>
      <c r="M1692" s="2" t="str">
        <f>HYPERLINK("https://docs.wto.org/imrd/directdoc.asp?DDFDocuments/v/G/SPS/NJPN343.DOC")</f>
        <v>https://docs.wto.org/imrd/directdoc.asp?DDFDocuments/v/G/SPS/NJPN343.DOC</v>
      </c>
      <c r="N1692" s="2" t="str">
        <f>HYPERLINK("http://www.epingalert.org/#/details/G/SPS/N/JPN/343")</f>
        <v>http://www.epingalert.org/#/details/G/SPS/N/JPN/343</v>
      </c>
      <c r="O1692" s="2"/>
    </row>
    <row r="1693" spans="1:15" ht="240" customHeight="1" outlineLevel="1" x14ac:dyDescent="0.25">
      <c r="A1693" s="2" t="s">
        <v>115</v>
      </c>
      <c r="B1693" s="2" t="s">
        <v>8501</v>
      </c>
      <c r="C1693" s="2" t="s">
        <v>6754</v>
      </c>
      <c r="D1693" s="2" t="s">
        <v>8502</v>
      </c>
      <c r="E1693" s="3">
        <v>41764</v>
      </c>
      <c r="F1693" s="2" t="s">
        <v>7054</v>
      </c>
      <c r="G1693" s="2" t="s">
        <v>8503</v>
      </c>
      <c r="H1693" s="2" t="s">
        <v>2573</v>
      </c>
      <c r="I1693" s="2" t="s">
        <v>2453</v>
      </c>
      <c r="J1693" s="3">
        <v>41824</v>
      </c>
      <c r="K1693" s="2" t="str">
        <f>HYPERLINK("https://docs.wto.org/imrd/directdoc.asp?DDFDocuments/t/G/SPS/NJPN342.DOC")</f>
        <v>https://docs.wto.org/imrd/directdoc.asp?DDFDocuments/t/G/SPS/NJPN342.DOC</v>
      </c>
      <c r="L1693" s="2" t="str">
        <f>HYPERLINK("https://docs.wto.org/imrd/directdoc.asp?DDFDocuments/u/G/SPS/NJPN342.DOC")</f>
        <v>https://docs.wto.org/imrd/directdoc.asp?DDFDocuments/u/G/SPS/NJPN342.DOC</v>
      </c>
      <c r="M1693" s="2" t="str">
        <f>HYPERLINK("https://docs.wto.org/imrd/directdoc.asp?DDFDocuments/v/G/SPS/NJPN342.DOC")</f>
        <v>https://docs.wto.org/imrd/directdoc.asp?DDFDocuments/v/G/SPS/NJPN342.DOC</v>
      </c>
      <c r="N1693" s="2" t="str">
        <f>HYPERLINK("http://www.epingalert.org/#/details/G/SPS/N/JPN/342")</f>
        <v>http://www.epingalert.org/#/details/G/SPS/N/JPN/342</v>
      </c>
      <c r="O1693" s="2"/>
    </row>
    <row r="1694" spans="1:15" ht="240" customHeight="1" outlineLevel="1" x14ac:dyDescent="0.25">
      <c r="A1694" s="2" t="s">
        <v>115</v>
      </c>
      <c r="B1694" s="2" t="s">
        <v>8504</v>
      </c>
      <c r="C1694" s="2" t="s">
        <v>6754</v>
      </c>
      <c r="D1694" s="2" t="s">
        <v>8505</v>
      </c>
      <c r="E1694" s="3">
        <v>41764</v>
      </c>
      <c r="F1694" s="2" t="s">
        <v>8506</v>
      </c>
      <c r="G1694" s="2" t="s">
        <v>8507</v>
      </c>
      <c r="H1694" s="2" t="s">
        <v>2573</v>
      </c>
      <c r="I1694" s="2" t="s">
        <v>2453</v>
      </c>
      <c r="J1694" s="3">
        <v>41824</v>
      </c>
      <c r="K1694" s="2" t="str">
        <f>HYPERLINK("https://docs.wto.org/imrd/directdoc.asp?DDFDocuments/t/G/SPS/NJPN341.DOC")</f>
        <v>https://docs.wto.org/imrd/directdoc.asp?DDFDocuments/t/G/SPS/NJPN341.DOC</v>
      </c>
      <c r="L1694" s="2" t="str">
        <f>HYPERLINK("https://docs.wto.org/imrd/directdoc.asp?DDFDocuments/u/G/SPS/NJPN341.DOC")</f>
        <v>https://docs.wto.org/imrd/directdoc.asp?DDFDocuments/u/G/SPS/NJPN341.DOC</v>
      </c>
      <c r="M1694" s="2" t="str">
        <f>HYPERLINK("https://docs.wto.org/imrd/directdoc.asp?DDFDocuments/v/G/SPS/NJPN341.DOC")</f>
        <v>https://docs.wto.org/imrd/directdoc.asp?DDFDocuments/v/G/SPS/NJPN341.DOC</v>
      </c>
      <c r="N1694" s="2" t="str">
        <f>HYPERLINK("http://www.epingalert.org/#/details/G/SPS/N/JPN/341")</f>
        <v>http://www.epingalert.org/#/details/G/SPS/N/JPN/341</v>
      </c>
      <c r="O1694" s="2"/>
    </row>
    <row r="1695" spans="1:15" ht="240" customHeight="1" outlineLevel="1" x14ac:dyDescent="0.25">
      <c r="A1695" s="2" t="s">
        <v>115</v>
      </c>
      <c r="B1695" s="2" t="s">
        <v>8508</v>
      </c>
      <c r="C1695" s="2" t="s">
        <v>6754</v>
      </c>
      <c r="D1695" s="2" t="s">
        <v>8509</v>
      </c>
      <c r="E1695" s="3">
        <v>41764</v>
      </c>
      <c r="F1695" s="2" t="s">
        <v>7046</v>
      </c>
      <c r="G1695" s="2" t="s">
        <v>8510</v>
      </c>
      <c r="H1695" s="2" t="s">
        <v>2573</v>
      </c>
      <c r="I1695" s="2" t="s">
        <v>2453</v>
      </c>
      <c r="J1695" s="3">
        <v>41824</v>
      </c>
      <c r="K1695" s="2" t="str">
        <f>HYPERLINK("https://docs.wto.org/imrd/directdoc.asp?DDFDocuments/t/G/SPS/NJPN340.DOC")</f>
        <v>https://docs.wto.org/imrd/directdoc.asp?DDFDocuments/t/G/SPS/NJPN340.DOC</v>
      </c>
      <c r="L1695" s="2" t="str">
        <f>HYPERLINK("https://docs.wto.org/imrd/directdoc.asp?DDFDocuments/u/G/SPS/NJPN340.DOC")</f>
        <v>https://docs.wto.org/imrd/directdoc.asp?DDFDocuments/u/G/SPS/NJPN340.DOC</v>
      </c>
      <c r="M1695" s="2" t="str">
        <f>HYPERLINK("https://docs.wto.org/imrd/directdoc.asp?DDFDocuments/v/G/SPS/NJPN340.DOC")</f>
        <v>https://docs.wto.org/imrd/directdoc.asp?DDFDocuments/v/G/SPS/NJPN340.DOC</v>
      </c>
      <c r="N1695" s="2" t="str">
        <f>HYPERLINK("http://www.epingalert.org/#/details/G/SPS/N/JPN/340")</f>
        <v>http://www.epingalert.org/#/details/G/SPS/N/JPN/340</v>
      </c>
      <c r="O1695" s="2"/>
    </row>
    <row r="1696" spans="1:15" ht="240" customHeight="1" outlineLevel="1" x14ac:dyDescent="0.25">
      <c r="A1696" s="2" t="s">
        <v>115</v>
      </c>
      <c r="B1696" s="2" t="s">
        <v>8511</v>
      </c>
      <c r="C1696" s="2" t="s">
        <v>8512</v>
      </c>
      <c r="D1696" s="2" t="s">
        <v>8513</v>
      </c>
      <c r="E1696" s="3">
        <v>41764</v>
      </c>
      <c r="F1696" s="2" t="s">
        <v>8514</v>
      </c>
      <c r="G1696" s="2" t="s">
        <v>8515</v>
      </c>
      <c r="H1696" s="2" t="s">
        <v>2573</v>
      </c>
      <c r="I1696" s="2" t="s">
        <v>8516</v>
      </c>
      <c r="J1696" s="3">
        <v>41824</v>
      </c>
      <c r="K1696" s="2" t="str">
        <f>HYPERLINK("https://docs.wto.org/imrd/directdoc.asp?DDFDocuments/t/G/SPS/NJPN345.DOC")</f>
        <v>https://docs.wto.org/imrd/directdoc.asp?DDFDocuments/t/G/SPS/NJPN345.DOC</v>
      </c>
      <c r="L1696" s="2" t="str">
        <f>HYPERLINK("https://docs.wto.org/imrd/directdoc.asp?DDFDocuments/u/G/SPS/NJPN345.DOC")</f>
        <v>https://docs.wto.org/imrd/directdoc.asp?DDFDocuments/u/G/SPS/NJPN345.DOC</v>
      </c>
      <c r="M1696" s="2" t="str">
        <f>HYPERLINK("https://docs.wto.org/imrd/directdoc.asp?DDFDocuments/v/G/SPS/NJPN345.DOC")</f>
        <v>https://docs.wto.org/imrd/directdoc.asp?DDFDocuments/v/G/SPS/NJPN345.DOC</v>
      </c>
      <c r="N1696" s="2" t="str">
        <f>HYPERLINK("http://www.epingalert.org/#/details/G/SPS/N/JPN/345")</f>
        <v>http://www.epingalert.org/#/details/G/SPS/N/JPN/345</v>
      </c>
      <c r="O1696" s="2"/>
    </row>
    <row r="1697" spans="1:15" ht="240" customHeight="1" outlineLevel="1" x14ac:dyDescent="0.25">
      <c r="A1697" s="2" t="s">
        <v>1488</v>
      </c>
      <c r="B1697" s="2" t="s">
        <v>8491</v>
      </c>
      <c r="C1697" s="2"/>
      <c r="D1697" s="2"/>
      <c r="E1697" s="3">
        <v>41764</v>
      </c>
      <c r="F1697" s="2" t="s">
        <v>8492</v>
      </c>
      <c r="G1697" s="2" t="s">
        <v>2790</v>
      </c>
      <c r="H1697" s="2" t="s">
        <v>2573</v>
      </c>
      <c r="I1697" s="2" t="s">
        <v>2491</v>
      </c>
      <c r="J1697" s="2"/>
      <c r="K1697" s="2" t="str">
        <f>HYPERLINK("https://docs.wto.org/imrd/directdoc.asp?DDFDocuments/t/G/SPS/NMEX229A1.DOC")</f>
        <v>https://docs.wto.org/imrd/directdoc.asp?DDFDocuments/t/G/SPS/NMEX229A1.DOC</v>
      </c>
      <c r="L1697" s="2" t="str">
        <f>HYPERLINK("https://docs.wto.org/imrd/directdoc.asp?DDFDocuments/u/G/SPS/NMEX229A1.DOC")</f>
        <v>https://docs.wto.org/imrd/directdoc.asp?DDFDocuments/u/G/SPS/NMEX229A1.DOC</v>
      </c>
      <c r="M1697" s="2" t="str">
        <f>HYPERLINK("https://docs.wto.org/imrd/directdoc.asp?DDFDocuments/v/G/SPS/NMEX229A1.DOC")</f>
        <v>https://docs.wto.org/imrd/directdoc.asp?DDFDocuments/v/G/SPS/NMEX229A1.DOC</v>
      </c>
      <c r="N1697" s="2" t="str">
        <f>HYPERLINK("http://www.epingalert.org/#/details/G/SPS/N/MEX/229/Add.1")</f>
        <v>http://www.epingalert.org/#/details/G/SPS/N/MEX/229/Add.1</v>
      </c>
      <c r="O1697" s="2"/>
    </row>
    <row r="1698" spans="1:15" ht="240" customHeight="1" outlineLevel="1" x14ac:dyDescent="0.25">
      <c r="A1698" s="2" t="s">
        <v>970</v>
      </c>
      <c r="B1698" s="2" t="s">
        <v>6114</v>
      </c>
      <c r="C1698" s="2" t="s">
        <v>6115</v>
      </c>
      <c r="D1698" s="2" t="s">
        <v>6116</v>
      </c>
      <c r="E1698" s="3">
        <v>41758</v>
      </c>
      <c r="F1698" s="2" t="s">
        <v>6117</v>
      </c>
      <c r="G1698" s="2" t="s">
        <v>6118</v>
      </c>
      <c r="H1698" s="2" t="s">
        <v>2573</v>
      </c>
      <c r="I1698" s="2" t="s">
        <v>2461</v>
      </c>
      <c r="J1698" s="3">
        <v>41818</v>
      </c>
      <c r="K1698" s="2" t="str">
        <f>HYPERLINK("https://docs.wto.org/imrd/directdoc.asp?DDFDocuments/t/G/SPS/NGHA1.DOC")</f>
        <v>https://docs.wto.org/imrd/directdoc.asp?DDFDocuments/t/G/SPS/NGHA1.DOC</v>
      </c>
      <c r="L1698" s="2" t="str">
        <f>HYPERLINK("https://docs.wto.org/imrd/directdoc.asp?DDFDocuments/u/G/SPS/NGHA1.DOC")</f>
        <v>https://docs.wto.org/imrd/directdoc.asp?DDFDocuments/u/G/SPS/NGHA1.DOC</v>
      </c>
      <c r="M1698" s="2" t="str">
        <f>HYPERLINK("https://docs.wto.org/imrd/directdoc.asp?DDFDocuments/v/G/SPS/NGHA1.DOC")</f>
        <v>https://docs.wto.org/imrd/directdoc.asp?DDFDocuments/v/G/SPS/NGHA1.DOC</v>
      </c>
      <c r="N1698" s="2" t="str">
        <f>HYPERLINK("http://www.epingalert.org/#/details/G/SPS/N/GHA/1")</f>
        <v>http://www.epingalert.org/#/details/G/SPS/N/GHA/1</v>
      </c>
      <c r="O1698" s="2"/>
    </row>
    <row r="1699" spans="1:15" ht="240" customHeight="1" outlineLevel="1" x14ac:dyDescent="0.25">
      <c r="A1699" s="2" t="s">
        <v>12</v>
      </c>
      <c r="B1699" s="2" t="s">
        <v>6119</v>
      </c>
      <c r="C1699" s="2"/>
      <c r="D1699" s="2"/>
      <c r="E1699" s="3">
        <v>41754</v>
      </c>
      <c r="F1699" s="2" t="s">
        <v>3264</v>
      </c>
      <c r="G1699" s="2"/>
      <c r="H1699" s="2" t="s">
        <v>2573</v>
      </c>
      <c r="I1699" s="2" t="s">
        <v>2672</v>
      </c>
      <c r="J1699" s="3">
        <v>41779</v>
      </c>
      <c r="K1699" s="2" t="str">
        <f>HYPERLINK("https://docs.wto.org/imrd/directdoc.asp?DDFDocuments/t/G/SPS/NEU64A2.DOC")</f>
        <v>https://docs.wto.org/imrd/directdoc.asp?DDFDocuments/t/G/SPS/NEU64A2.DOC</v>
      </c>
      <c r="L1699" s="2" t="str">
        <f>HYPERLINK("https://docs.wto.org/imrd/directdoc.asp?DDFDocuments/u/G/SPS/NEU64A2.DOC")</f>
        <v>https://docs.wto.org/imrd/directdoc.asp?DDFDocuments/u/G/SPS/NEU64A2.DOC</v>
      </c>
      <c r="M1699" s="2" t="str">
        <f>HYPERLINK("https://docs.wto.org/imrd/directdoc.asp?DDFDocuments/v/G/SPS/NEU64A2.DOC")</f>
        <v>https://docs.wto.org/imrd/directdoc.asp?DDFDocuments/v/G/SPS/NEU64A2.DOC</v>
      </c>
      <c r="N1699" s="2" t="str">
        <f>HYPERLINK("http://www.epingalert.org/#/details/G/SPS/N/EU/64/Add.2")</f>
        <v>http://www.epingalert.org/#/details/G/SPS/N/EU/64/Add.2</v>
      </c>
      <c r="O1699" s="2"/>
    </row>
    <row r="1700" spans="1:15" ht="240" customHeight="1" outlineLevel="1" x14ac:dyDescent="0.25">
      <c r="A1700" s="2" t="s">
        <v>18</v>
      </c>
      <c r="B1700" s="2" t="s">
        <v>8521</v>
      </c>
      <c r="C1700" s="2" t="s">
        <v>8522</v>
      </c>
      <c r="D1700" s="2" t="s">
        <v>8523</v>
      </c>
      <c r="E1700" s="3">
        <v>41752</v>
      </c>
      <c r="F1700" s="2" t="s">
        <v>7093</v>
      </c>
      <c r="G1700" s="2" t="s">
        <v>6736</v>
      </c>
      <c r="H1700" s="2" t="s">
        <v>2573</v>
      </c>
      <c r="I1700" s="2" t="s">
        <v>8524</v>
      </c>
      <c r="J1700" s="3">
        <v>41810</v>
      </c>
      <c r="K1700" s="2" t="str">
        <f>HYPERLINK("https://docs.wto.org/imrd/directdoc.asp?DDFDocuments/t/G/SPS/NUSA2663.DOC")</f>
        <v>https://docs.wto.org/imrd/directdoc.asp?DDFDocuments/t/G/SPS/NUSA2663.DOC</v>
      </c>
      <c r="L1700" s="2" t="str">
        <f>HYPERLINK("https://docs.wto.org/imrd/directdoc.asp?DDFDocuments/u/G/SPS/NUSA2663.DOC")</f>
        <v>https://docs.wto.org/imrd/directdoc.asp?DDFDocuments/u/G/SPS/NUSA2663.DOC</v>
      </c>
      <c r="M1700" s="2" t="str">
        <f>HYPERLINK("https://docs.wto.org/imrd/directdoc.asp?DDFDocuments/v/G/SPS/NUSA2663.DOC")</f>
        <v>https://docs.wto.org/imrd/directdoc.asp?DDFDocuments/v/G/SPS/NUSA2663.DOC</v>
      </c>
      <c r="N1700" s="2" t="str">
        <f>HYPERLINK("http://www.epingalert.org/#/details/G/SPS/N/USA/2663")</f>
        <v>http://www.epingalert.org/#/details/G/SPS/N/USA/2663</v>
      </c>
      <c r="O1700" s="2"/>
    </row>
    <row r="1701" spans="1:15" ht="240" customHeight="1" outlineLevel="1" x14ac:dyDescent="0.25">
      <c r="A1701" s="2" t="s">
        <v>18</v>
      </c>
      <c r="B1701" s="2" t="s">
        <v>6120</v>
      </c>
      <c r="C1701" s="2"/>
      <c r="D1701" s="2"/>
      <c r="E1701" s="3">
        <v>41752</v>
      </c>
      <c r="F1701" s="2" t="s">
        <v>6121</v>
      </c>
      <c r="G1701" s="2" t="s">
        <v>6027</v>
      </c>
      <c r="H1701" s="2" t="s">
        <v>2573</v>
      </c>
      <c r="I1701" s="2" t="s">
        <v>2444</v>
      </c>
      <c r="J1701" s="2"/>
      <c r="K1701" s="2" t="str">
        <f>HYPERLINK("https://docs.wto.org/imrd/directdoc.asp?DDFDocuments/t/G/SPS/NUSA2465A1.DOC")</f>
        <v>https://docs.wto.org/imrd/directdoc.asp?DDFDocuments/t/G/SPS/NUSA2465A1.DOC</v>
      </c>
      <c r="L1701" s="2" t="str">
        <f>HYPERLINK("https://docs.wto.org/imrd/directdoc.asp?DDFDocuments/u/G/SPS/NUSA2465A1.DOC")</f>
        <v>https://docs.wto.org/imrd/directdoc.asp?DDFDocuments/u/G/SPS/NUSA2465A1.DOC</v>
      </c>
      <c r="M1701" s="2" t="str">
        <f>HYPERLINK("https://docs.wto.org/imrd/directdoc.asp?DDFDocuments/v/G/SPS/NUSA2465A1.DOC")</f>
        <v>https://docs.wto.org/imrd/directdoc.asp?DDFDocuments/v/G/SPS/NUSA2465A1.DOC</v>
      </c>
      <c r="N1701" s="2" t="str">
        <f>HYPERLINK("http://www.epingalert.org/#/details/G/SPS/N/USA/2465/Add.1")</f>
        <v>http://www.epingalert.org/#/details/G/SPS/N/USA/2465/Add.1</v>
      </c>
      <c r="O1701" s="2"/>
    </row>
    <row r="1702" spans="1:15" ht="240" customHeight="1" outlineLevel="1" x14ac:dyDescent="0.25">
      <c r="A1702" s="2" t="s">
        <v>18</v>
      </c>
      <c r="B1702" s="2" t="s">
        <v>8517</v>
      </c>
      <c r="C1702" s="2"/>
      <c r="D1702" s="2"/>
      <c r="E1702" s="3">
        <v>41752</v>
      </c>
      <c r="F1702" s="2" t="s">
        <v>8253</v>
      </c>
      <c r="G1702" s="2" t="s">
        <v>6736</v>
      </c>
      <c r="H1702" s="2" t="s">
        <v>2573</v>
      </c>
      <c r="I1702" s="2" t="s">
        <v>2491</v>
      </c>
      <c r="J1702" s="2"/>
      <c r="K1702" s="2" t="str">
        <f>HYPERLINK("https://docs.wto.org/imrd/directdoc.asp?DDFDocuments/t/G/SPS/NUSA2488A2.DOC")</f>
        <v>https://docs.wto.org/imrd/directdoc.asp?DDFDocuments/t/G/SPS/NUSA2488A2.DOC</v>
      </c>
      <c r="L1702" s="2" t="str">
        <f>HYPERLINK("https://docs.wto.org/imrd/directdoc.asp?DDFDocuments/u/G/SPS/NUSA2488A2.DOC")</f>
        <v>https://docs.wto.org/imrd/directdoc.asp?DDFDocuments/u/G/SPS/NUSA2488A2.DOC</v>
      </c>
      <c r="M1702" s="2" t="str">
        <f>HYPERLINK("https://docs.wto.org/imrd/directdoc.asp?DDFDocuments/v/G/SPS/NUSA2488A2.DOC")</f>
        <v>https://docs.wto.org/imrd/directdoc.asp?DDFDocuments/v/G/SPS/NUSA2488A2.DOC</v>
      </c>
      <c r="N1702" s="2" t="str">
        <f>HYPERLINK("http://www.epingalert.org/#/details/G/SPS/N/USA/2488/Add.2")</f>
        <v>http://www.epingalert.org/#/details/G/SPS/N/USA/2488/Add.2</v>
      </c>
      <c r="O1702" s="2"/>
    </row>
    <row r="1703" spans="1:15" ht="240" customHeight="1" outlineLevel="1" x14ac:dyDescent="0.25">
      <c r="A1703" s="2" t="s">
        <v>18</v>
      </c>
      <c r="B1703" s="2" t="s">
        <v>8518</v>
      </c>
      <c r="C1703" s="2"/>
      <c r="D1703" s="2"/>
      <c r="E1703" s="3">
        <v>41752</v>
      </c>
      <c r="F1703" s="2" t="s">
        <v>8519</v>
      </c>
      <c r="G1703" s="2" t="s">
        <v>8520</v>
      </c>
      <c r="H1703" s="2" t="s">
        <v>2573</v>
      </c>
      <c r="I1703" s="2" t="s">
        <v>2444</v>
      </c>
      <c r="J1703" s="2"/>
      <c r="K1703" s="2" t="str">
        <f>HYPERLINK("https://docs.wto.org/imrd/directdoc.asp?DDFDocuments/t/G/SPS/NUSA396A1.DOC")</f>
        <v>https://docs.wto.org/imrd/directdoc.asp?DDFDocuments/t/G/SPS/NUSA396A1.DOC</v>
      </c>
      <c r="L1703" s="2" t="str">
        <f>HYPERLINK("https://docs.wto.org/imrd/directdoc.asp?DDFDocuments/u/G/SPS/NUSA396A1.DOC")</f>
        <v>https://docs.wto.org/imrd/directdoc.asp?DDFDocuments/u/G/SPS/NUSA396A1.DOC</v>
      </c>
      <c r="M1703" s="2" t="str">
        <f>HYPERLINK("https://docs.wto.org/imrd/directdoc.asp?DDFDocuments/v/G/SPS/NUSA396A1.DOC")</f>
        <v>https://docs.wto.org/imrd/directdoc.asp?DDFDocuments/v/G/SPS/NUSA396A1.DOC</v>
      </c>
      <c r="N1703" s="2" t="str">
        <f>HYPERLINK("http://www.epingalert.org/#/details/G/SPS/N/USA/396/Add.1")</f>
        <v>http://www.epingalert.org/#/details/G/SPS/N/USA/396/Add.1</v>
      </c>
      <c r="O1703" s="2"/>
    </row>
    <row r="1704" spans="1:15" ht="240" customHeight="1" outlineLevel="1" x14ac:dyDescent="0.25">
      <c r="A1704" s="2" t="s">
        <v>77</v>
      </c>
      <c r="B1704" s="2" t="s">
        <v>6122</v>
      </c>
      <c r="C1704" s="2" t="s">
        <v>6123</v>
      </c>
      <c r="D1704" s="2" t="s">
        <v>6124</v>
      </c>
      <c r="E1704" s="3">
        <v>41751</v>
      </c>
      <c r="F1704" s="2" t="s">
        <v>5959</v>
      </c>
      <c r="G1704" s="2" t="s">
        <v>2790</v>
      </c>
      <c r="H1704" s="2" t="s">
        <v>2573</v>
      </c>
      <c r="I1704" s="2" t="s">
        <v>6125</v>
      </c>
      <c r="J1704" s="3">
        <v>41804</v>
      </c>
      <c r="K1704" s="2" t="str">
        <f>HYPERLINK("https://docs.wto.org/imrd/directdoc.asp?DDFDocuments/t/G/SPS/NTPKM312.DOC")</f>
        <v>https://docs.wto.org/imrd/directdoc.asp?DDFDocuments/t/G/SPS/NTPKM312.DOC</v>
      </c>
      <c r="L1704" s="2" t="str">
        <f>HYPERLINK("https://docs.wto.org/imrd/directdoc.asp?DDFDocuments/u/G/SPS/NTPKM312.DOC")</f>
        <v>https://docs.wto.org/imrd/directdoc.asp?DDFDocuments/u/G/SPS/NTPKM312.DOC</v>
      </c>
      <c r="M1704" s="2" t="str">
        <f>HYPERLINK("https://docs.wto.org/imrd/directdoc.asp?DDFDocuments/v/G/SPS/NTPKM312.DOC")</f>
        <v>https://docs.wto.org/imrd/directdoc.asp?DDFDocuments/v/G/SPS/NTPKM312.DOC</v>
      </c>
      <c r="N1704" s="2" t="str">
        <f>HYPERLINK("http://www.epingalert.org/#/details/G/SPS/N/TPKM/312")</f>
        <v>http://www.epingalert.org/#/details/G/SPS/N/TPKM/312</v>
      </c>
      <c r="O1704" s="2"/>
    </row>
    <row r="1705" spans="1:15" ht="240" customHeight="1" outlineLevel="1" x14ac:dyDescent="0.25">
      <c r="A1705" s="2" t="s">
        <v>562</v>
      </c>
      <c r="B1705" s="2" t="s">
        <v>6128</v>
      </c>
      <c r="C1705" s="2"/>
      <c r="D1705" s="2"/>
      <c r="E1705" s="3">
        <v>41745</v>
      </c>
      <c r="F1705" s="2" t="s">
        <v>46</v>
      </c>
      <c r="G1705" s="2"/>
      <c r="H1705" s="2" t="s">
        <v>2573</v>
      </c>
      <c r="I1705" s="2" t="s">
        <v>2672</v>
      </c>
      <c r="J1705" s="3">
        <v>41805</v>
      </c>
      <c r="K1705" s="2" t="str">
        <f>HYPERLINK("https://docs.wto.org/imrd/directdoc.asp?DDFDocuments/t/G/SPS/NSGP52A1.DOC")</f>
        <v>https://docs.wto.org/imrd/directdoc.asp?DDFDocuments/t/G/SPS/NSGP52A1.DOC</v>
      </c>
      <c r="L1705" s="2" t="str">
        <f>HYPERLINK("https://docs.wto.org/imrd/directdoc.asp?DDFDocuments/u/G/SPS/NSGP52A1.DOC")</f>
        <v>https://docs.wto.org/imrd/directdoc.asp?DDFDocuments/u/G/SPS/NSGP52A1.DOC</v>
      </c>
      <c r="M1705" s="2" t="str">
        <f>HYPERLINK("https://docs.wto.org/imrd/directdoc.asp?DDFDocuments/v/G/SPS/NSGP52A1.DOC")</f>
        <v>https://docs.wto.org/imrd/directdoc.asp?DDFDocuments/v/G/SPS/NSGP52A1.DOC</v>
      </c>
      <c r="N1705" s="2" t="str">
        <f>HYPERLINK("http://www.epingalert.org/#/details/G/SPS/N/SGP/52/Add.1")</f>
        <v>http://www.epingalert.org/#/details/G/SPS/N/SGP/52/Add.1</v>
      </c>
      <c r="O1705" s="2"/>
    </row>
    <row r="1706" spans="1:15" ht="240" customHeight="1" outlineLevel="1" x14ac:dyDescent="0.25">
      <c r="A1706" s="2" t="s">
        <v>776</v>
      </c>
      <c r="B1706" s="2" t="s">
        <v>6137</v>
      </c>
      <c r="C1706" s="2" t="s">
        <v>6138</v>
      </c>
      <c r="D1706" s="2" t="s">
        <v>6139</v>
      </c>
      <c r="E1706" s="3">
        <v>41745</v>
      </c>
      <c r="F1706" s="2" t="s">
        <v>221</v>
      </c>
      <c r="G1706" s="2"/>
      <c r="H1706" s="2" t="s">
        <v>2573</v>
      </c>
      <c r="I1706" s="2" t="s">
        <v>2548</v>
      </c>
      <c r="J1706" s="3">
        <v>41805</v>
      </c>
      <c r="K1706" s="2" t="str">
        <f>HYPERLINK("https://docs.wto.org/imrd/directdoc.asp?DDFDocuments/t/G/SPS/NHKG39.DOC")</f>
        <v>https://docs.wto.org/imrd/directdoc.asp?DDFDocuments/t/G/SPS/NHKG39.DOC</v>
      </c>
      <c r="L1706" s="2" t="str">
        <f>HYPERLINK("https://docs.wto.org/imrd/directdoc.asp?DDFDocuments/u/G/SPS/NHKG39.DOC")</f>
        <v>https://docs.wto.org/imrd/directdoc.asp?DDFDocuments/u/G/SPS/NHKG39.DOC</v>
      </c>
      <c r="M1706" s="2" t="str">
        <f>HYPERLINK("https://docs.wto.org/imrd/directdoc.asp?DDFDocuments/v/G/SPS/NHKG39.DOC")</f>
        <v>https://docs.wto.org/imrd/directdoc.asp?DDFDocuments/v/G/SPS/NHKG39.DOC</v>
      </c>
      <c r="N1706" s="2" t="str">
        <f>HYPERLINK("http://www.epingalert.org/#/details/G/SPS/N/HKG/39")</f>
        <v>http://www.epingalert.org/#/details/G/SPS/N/HKG/39</v>
      </c>
      <c r="O1706" s="2"/>
    </row>
    <row r="1707" spans="1:15" ht="240" customHeight="1" outlineLevel="1" x14ac:dyDescent="0.25">
      <c r="A1707" s="2" t="s">
        <v>42</v>
      </c>
      <c r="B1707" s="2" t="s">
        <v>6126</v>
      </c>
      <c r="C1707" s="2"/>
      <c r="D1707" s="2"/>
      <c r="E1707" s="3">
        <v>41745</v>
      </c>
      <c r="F1707" s="2" t="s">
        <v>6127</v>
      </c>
      <c r="G1707" s="2"/>
      <c r="H1707" s="2" t="s">
        <v>2573</v>
      </c>
      <c r="I1707" s="2" t="s">
        <v>2444</v>
      </c>
      <c r="J1707" s="2"/>
      <c r="K1707" s="2" t="str">
        <f>HYPERLINK("https://docs.wto.org/imrd/directdoc.asp?DDFDocuments/t/G/SPS/NBRA728A1.DOC")</f>
        <v>https://docs.wto.org/imrd/directdoc.asp?DDFDocuments/t/G/SPS/NBRA728A1.DOC</v>
      </c>
      <c r="L1707" s="2" t="str">
        <f>HYPERLINK("https://docs.wto.org/imrd/directdoc.asp?DDFDocuments/u/G/SPS/NBRA728A1.DOC")</f>
        <v>https://docs.wto.org/imrd/directdoc.asp?DDFDocuments/u/G/SPS/NBRA728A1.DOC</v>
      </c>
      <c r="M1707" s="2" t="str">
        <f>HYPERLINK("https://docs.wto.org/imrd/directdoc.asp?DDFDocuments/v/G/SPS/NBRA728A1.DOC")</f>
        <v>https://docs.wto.org/imrd/directdoc.asp?DDFDocuments/v/G/SPS/NBRA728A1.DOC</v>
      </c>
      <c r="N1707" s="2" t="str">
        <f>HYPERLINK("http://www.epingalert.org/#/details/G/SPS/N/BRA/728/Add.1")</f>
        <v>http://www.epingalert.org/#/details/G/SPS/N/BRA/728/Add.1</v>
      </c>
      <c r="O1707" s="2"/>
    </row>
    <row r="1708" spans="1:15" ht="240" customHeight="1" outlineLevel="1" x14ac:dyDescent="0.25">
      <c r="A1708" s="2" t="s">
        <v>77</v>
      </c>
      <c r="B1708" s="2" t="s">
        <v>6129</v>
      </c>
      <c r="C1708" s="2"/>
      <c r="D1708" s="2"/>
      <c r="E1708" s="3">
        <v>41745</v>
      </c>
      <c r="F1708" s="2" t="s">
        <v>6130</v>
      </c>
      <c r="G1708" s="2"/>
      <c r="H1708" s="2" t="s">
        <v>2573</v>
      </c>
      <c r="I1708" s="2" t="s">
        <v>2444</v>
      </c>
      <c r="J1708" s="2"/>
      <c r="K1708" s="2" t="str">
        <f>HYPERLINK("https://docs.wto.org/imrd/directdoc.asp?DDFDocuments/t/G/SPS/NTPKM300A1.DOC")</f>
        <v>https://docs.wto.org/imrd/directdoc.asp?DDFDocuments/t/G/SPS/NTPKM300A1.DOC</v>
      </c>
      <c r="L1708" s="2" t="str">
        <f>HYPERLINK("https://docs.wto.org/imrd/directdoc.asp?DDFDocuments/u/G/SPS/NTPKM300A1.DOC")</f>
        <v>https://docs.wto.org/imrd/directdoc.asp?DDFDocuments/u/G/SPS/NTPKM300A1.DOC</v>
      </c>
      <c r="M1708" s="2" t="str">
        <f>HYPERLINK("https://docs.wto.org/imrd/directdoc.asp?DDFDocuments/v/G/SPS/NTPKM300A1.DOC")</f>
        <v>https://docs.wto.org/imrd/directdoc.asp?DDFDocuments/v/G/SPS/NTPKM300A1.DOC</v>
      </c>
      <c r="N1708" s="2" t="str">
        <f>HYPERLINK("http://www.epingalert.org/#/details/G/SPS/N/TPKM/300/Add.1")</f>
        <v>http://www.epingalert.org/#/details/G/SPS/N/TPKM/300/Add.1</v>
      </c>
      <c r="O1708" s="2"/>
    </row>
    <row r="1709" spans="1:15" ht="240" customHeight="1" outlineLevel="1" x14ac:dyDescent="0.25">
      <c r="A1709" s="2" t="s">
        <v>18</v>
      </c>
      <c r="B1709" s="2" t="s">
        <v>6131</v>
      </c>
      <c r="C1709" s="2" t="s">
        <v>6132</v>
      </c>
      <c r="D1709" s="2" t="s">
        <v>6133</v>
      </c>
      <c r="E1709" s="3">
        <v>41745</v>
      </c>
      <c r="F1709" s="2" t="s">
        <v>6134</v>
      </c>
      <c r="G1709" s="2" t="s">
        <v>6135</v>
      </c>
      <c r="H1709" s="2" t="s">
        <v>2648</v>
      </c>
      <c r="I1709" s="2" t="s">
        <v>6136</v>
      </c>
      <c r="J1709" s="2"/>
      <c r="K1709" s="2" t="str">
        <f>HYPERLINK("https://docs.wto.org/imrd/directdoc.asp?DDFDocuments/t/G/SPS/NUSA2658.DOC")</f>
        <v>https://docs.wto.org/imrd/directdoc.asp?DDFDocuments/t/G/SPS/NUSA2658.DOC</v>
      </c>
      <c r="L1709" s="2" t="str">
        <f>HYPERLINK("https://docs.wto.org/imrd/directdoc.asp?DDFDocuments/u/G/SPS/NUSA2658.DOC")</f>
        <v>https://docs.wto.org/imrd/directdoc.asp?DDFDocuments/u/G/SPS/NUSA2658.DOC</v>
      </c>
      <c r="M1709" s="2" t="str">
        <f>HYPERLINK("https://docs.wto.org/imrd/directdoc.asp?DDFDocuments/v/G/SPS/NUSA2658.DOC")</f>
        <v>https://docs.wto.org/imrd/directdoc.asp?DDFDocuments/v/G/SPS/NUSA2658.DOC</v>
      </c>
      <c r="N1709" s="2" t="str">
        <f>HYPERLINK("http://www.epingalert.org/#/details/G/SPS/N/USA/2658")</f>
        <v>http://www.epingalert.org/#/details/G/SPS/N/USA/2658</v>
      </c>
      <c r="O1709" s="2"/>
    </row>
    <row r="1710" spans="1:15" ht="240" customHeight="1" outlineLevel="1" x14ac:dyDescent="0.25">
      <c r="A1710" s="2" t="s">
        <v>77</v>
      </c>
      <c r="B1710" s="2" t="s">
        <v>6143</v>
      </c>
      <c r="C1710" s="2" t="s">
        <v>2914</v>
      </c>
      <c r="D1710" s="2" t="s">
        <v>6144</v>
      </c>
      <c r="E1710" s="3">
        <v>41743</v>
      </c>
      <c r="F1710" s="2" t="s">
        <v>2435</v>
      </c>
      <c r="G1710" s="2"/>
      <c r="H1710" s="2" t="s">
        <v>2573</v>
      </c>
      <c r="I1710" s="2" t="s">
        <v>2426</v>
      </c>
      <c r="J1710" s="3">
        <v>41803</v>
      </c>
      <c r="K1710" s="2" t="str">
        <f>HYPERLINK("https://docs.wto.org/imrd/directdoc.asp?DDFDocuments/t/G/SPS/NTPKM311.DOC")</f>
        <v>https://docs.wto.org/imrd/directdoc.asp?DDFDocuments/t/G/SPS/NTPKM311.DOC</v>
      </c>
      <c r="L1710" s="2" t="str">
        <f>HYPERLINK("https://docs.wto.org/imrd/directdoc.asp?DDFDocuments/u/G/SPS/NTPKM311.DOC")</f>
        <v>https://docs.wto.org/imrd/directdoc.asp?DDFDocuments/u/G/SPS/NTPKM311.DOC</v>
      </c>
      <c r="M1710" s="2" t="str">
        <f>HYPERLINK("https://docs.wto.org/imrd/directdoc.asp?DDFDocuments/v/G/SPS/NTPKM311.DOC")</f>
        <v>https://docs.wto.org/imrd/directdoc.asp?DDFDocuments/v/G/SPS/NTPKM311.DOC</v>
      </c>
      <c r="N1710" s="2" t="str">
        <f>HYPERLINK("http://www.epingalert.org/#/details/G/SPS/N/TPKM/311")</f>
        <v>http://www.epingalert.org/#/details/G/SPS/N/TPKM/311</v>
      </c>
      <c r="O1710" s="2"/>
    </row>
    <row r="1711" spans="1:15" ht="240" customHeight="1" outlineLevel="1" x14ac:dyDescent="0.25">
      <c r="A1711" s="2" t="s">
        <v>77</v>
      </c>
      <c r="B1711" s="2" t="s">
        <v>6140</v>
      </c>
      <c r="C1711" s="2"/>
      <c r="D1711" s="2"/>
      <c r="E1711" s="3">
        <v>41743</v>
      </c>
      <c r="F1711" s="2" t="s">
        <v>6141</v>
      </c>
      <c r="G1711" s="2" t="s">
        <v>6142</v>
      </c>
      <c r="H1711" s="2" t="s">
        <v>2467</v>
      </c>
      <c r="I1711" s="2" t="s">
        <v>2784</v>
      </c>
      <c r="J1711" s="2"/>
      <c r="K1711" s="2" t="str">
        <f>HYPERLINK("https://docs.wto.org/imrd/directdoc.asp?DDFDocuments/t/G/SPS/NTPKM291R1A1.DOC")</f>
        <v>https://docs.wto.org/imrd/directdoc.asp?DDFDocuments/t/G/SPS/NTPKM291R1A1.DOC</v>
      </c>
      <c r="L1711" s="2" t="str">
        <f>HYPERLINK("https://docs.wto.org/imrd/directdoc.asp?DDFDocuments/u/G/SPS/NTPKM291R1A1.DOC")</f>
        <v>https://docs.wto.org/imrd/directdoc.asp?DDFDocuments/u/G/SPS/NTPKM291R1A1.DOC</v>
      </c>
      <c r="M1711" s="2" t="str">
        <f>HYPERLINK("https://docs.wto.org/imrd/directdoc.asp?DDFDocuments/v/G/SPS/NTPKM291R1A1.DOC")</f>
        <v>https://docs.wto.org/imrd/directdoc.asp?DDFDocuments/v/G/SPS/NTPKM291R1A1.DOC</v>
      </c>
      <c r="N1711" s="2" t="str">
        <f>HYPERLINK("http://www.epingalert.org/#/details/G/SPS/N/TPKM/291/Rev.1/Add.1")</f>
        <v>http://www.epingalert.org/#/details/G/SPS/N/TPKM/291/Rev.1/Add.1</v>
      </c>
      <c r="O1711" s="2"/>
    </row>
    <row r="1712" spans="1:15" ht="240" customHeight="1" outlineLevel="1" x14ac:dyDescent="0.25">
      <c r="A1712" s="2" t="s">
        <v>225</v>
      </c>
      <c r="B1712" s="2" t="s">
        <v>6152</v>
      </c>
      <c r="C1712" s="2" t="s">
        <v>6153</v>
      </c>
      <c r="D1712" s="2" t="s">
        <v>2494</v>
      </c>
      <c r="E1712" s="3">
        <v>41740</v>
      </c>
      <c r="F1712" s="2" t="s">
        <v>2430</v>
      </c>
      <c r="G1712" s="2" t="s">
        <v>6154</v>
      </c>
      <c r="H1712" s="2" t="s">
        <v>2573</v>
      </c>
      <c r="I1712" s="2" t="s">
        <v>2431</v>
      </c>
      <c r="J1712" s="3">
        <v>41801</v>
      </c>
      <c r="K1712" s="2" t="str">
        <f>HYPERLINK("https://docs.wto.org/imrd/directdoc.asp?DDFDocuments/t/G/SPS/NAUS338.DOC")</f>
        <v>https://docs.wto.org/imrd/directdoc.asp?DDFDocuments/t/G/SPS/NAUS338.DOC</v>
      </c>
      <c r="L1712" s="2" t="str">
        <f>HYPERLINK("https://docs.wto.org/imrd/directdoc.asp?DDFDocuments/u/G/SPS/NAUS338.DOC")</f>
        <v>https://docs.wto.org/imrd/directdoc.asp?DDFDocuments/u/G/SPS/NAUS338.DOC</v>
      </c>
      <c r="M1712" s="2" t="str">
        <f>HYPERLINK("https://docs.wto.org/imrd/directdoc.asp?DDFDocuments/v/G/SPS/NAUS338.DOC")</f>
        <v>https://docs.wto.org/imrd/directdoc.asp?DDFDocuments/v/G/SPS/NAUS338.DOC</v>
      </c>
      <c r="N1712" s="2" t="str">
        <f>HYPERLINK("http://www.epingalert.org/#/details/G/SPS/N/AUS/338")</f>
        <v>http://www.epingalert.org/#/details/G/SPS/N/AUS/338</v>
      </c>
      <c r="O1712" s="2"/>
    </row>
    <row r="1713" spans="1:15" ht="240" customHeight="1" outlineLevel="1" x14ac:dyDescent="0.25">
      <c r="A1713" s="2" t="s">
        <v>42</v>
      </c>
      <c r="B1713" s="2" t="s">
        <v>8525</v>
      </c>
      <c r="C1713" s="2" t="s">
        <v>8526</v>
      </c>
      <c r="D1713" s="2" t="s">
        <v>8527</v>
      </c>
      <c r="E1713" s="3">
        <v>41740</v>
      </c>
      <c r="F1713" s="2" t="s">
        <v>8528</v>
      </c>
      <c r="G1713" s="2" t="s">
        <v>8529</v>
      </c>
      <c r="H1713" s="2" t="s">
        <v>2467</v>
      </c>
      <c r="I1713" s="2" t="s">
        <v>7206</v>
      </c>
      <c r="J1713" s="3">
        <v>41800</v>
      </c>
      <c r="K1713" s="2" t="str">
        <f>HYPERLINK("https://docs.wto.org/imrd/directdoc.asp?DDFDocuments/t/G/SPS/NBRA492R2.DOC")</f>
        <v>https://docs.wto.org/imrd/directdoc.asp?DDFDocuments/t/G/SPS/NBRA492R2.DOC</v>
      </c>
      <c r="L1713" s="2" t="str">
        <f>HYPERLINK("https://docs.wto.org/imrd/directdoc.asp?DDFDocuments/u/G/SPS/NBRA492R2.DOC")</f>
        <v>https://docs.wto.org/imrd/directdoc.asp?DDFDocuments/u/G/SPS/NBRA492R2.DOC</v>
      </c>
      <c r="M1713" s="2" t="str">
        <f>HYPERLINK("https://docs.wto.org/imrd/directdoc.asp?DDFDocuments/v/G/SPS/NBRA492R2.DOC")</f>
        <v>https://docs.wto.org/imrd/directdoc.asp?DDFDocuments/v/G/SPS/NBRA492R2.DOC</v>
      </c>
      <c r="N1713" s="2" t="str">
        <f>HYPERLINK("http://www.epingalert.org/#/details/G/SPS/N/BRA/492/Rev.2")</f>
        <v>http://www.epingalert.org/#/details/G/SPS/N/BRA/492/Rev.2</v>
      </c>
      <c r="O1713" s="2"/>
    </row>
    <row r="1714" spans="1:15" ht="240" customHeight="1" outlineLevel="1" x14ac:dyDescent="0.25">
      <c r="A1714" s="2" t="s">
        <v>42</v>
      </c>
      <c r="B1714" s="2" t="s">
        <v>8530</v>
      </c>
      <c r="C1714" s="2" t="s">
        <v>8531</v>
      </c>
      <c r="D1714" s="2" t="s">
        <v>8532</v>
      </c>
      <c r="E1714" s="3">
        <v>41740</v>
      </c>
      <c r="F1714" s="2" t="s">
        <v>8533</v>
      </c>
      <c r="G1714" s="2" t="s">
        <v>8534</v>
      </c>
      <c r="H1714" s="2" t="s">
        <v>2467</v>
      </c>
      <c r="I1714" s="2" t="s">
        <v>7206</v>
      </c>
      <c r="J1714" s="3">
        <v>41800</v>
      </c>
      <c r="K1714" s="2" t="str">
        <f>HYPERLINK("https://docs.wto.org/imrd/directdoc.asp?DDFDocuments/t/G/SPS/NBRA932.DOC")</f>
        <v>https://docs.wto.org/imrd/directdoc.asp?DDFDocuments/t/G/SPS/NBRA932.DOC</v>
      </c>
      <c r="L1714" s="2" t="str">
        <f>HYPERLINK("https://docs.wto.org/imrd/directdoc.asp?DDFDocuments/u/G/SPS/NBRA932.DOC")</f>
        <v>https://docs.wto.org/imrd/directdoc.asp?DDFDocuments/u/G/SPS/NBRA932.DOC</v>
      </c>
      <c r="M1714" s="2" t="str">
        <f>HYPERLINK("https://docs.wto.org/imrd/directdoc.asp?DDFDocuments/v/G/SPS/NBRA932.DOC")</f>
        <v>https://docs.wto.org/imrd/directdoc.asp?DDFDocuments/v/G/SPS/NBRA932.DOC</v>
      </c>
      <c r="N1714" s="2" t="str">
        <f>HYPERLINK("http://www.epingalert.org/#/details/G/SPS/N/BRA/932")</f>
        <v>http://www.epingalert.org/#/details/G/SPS/N/BRA/932</v>
      </c>
      <c r="O1714" s="2"/>
    </row>
    <row r="1715" spans="1:15" ht="240" customHeight="1" outlineLevel="1" x14ac:dyDescent="0.25">
      <c r="A1715" s="2" t="s">
        <v>42</v>
      </c>
      <c r="B1715" s="2" t="s">
        <v>6148</v>
      </c>
      <c r="C1715" s="2" t="s">
        <v>6149</v>
      </c>
      <c r="D1715" s="2" t="s">
        <v>6150</v>
      </c>
      <c r="E1715" s="3">
        <v>41740</v>
      </c>
      <c r="F1715" s="2" t="s">
        <v>6151</v>
      </c>
      <c r="G1715" s="2"/>
      <c r="H1715" s="2" t="s">
        <v>2573</v>
      </c>
      <c r="I1715" s="2" t="s">
        <v>2453</v>
      </c>
      <c r="J1715" s="3">
        <v>41767</v>
      </c>
      <c r="K1715" s="2" t="str">
        <f>HYPERLINK("https://docs.wto.org/imrd/directdoc.asp?DDFDocuments/t/G/SPS/NBRA933.DOC")</f>
        <v>https://docs.wto.org/imrd/directdoc.asp?DDFDocuments/t/G/SPS/NBRA933.DOC</v>
      </c>
      <c r="L1715" s="2" t="str">
        <f>HYPERLINK("https://docs.wto.org/imrd/directdoc.asp?DDFDocuments/u/G/SPS/NBRA933.DOC")</f>
        <v>https://docs.wto.org/imrd/directdoc.asp?DDFDocuments/u/G/SPS/NBRA933.DOC</v>
      </c>
      <c r="M1715" s="2" t="str">
        <f>HYPERLINK("https://docs.wto.org/imrd/directdoc.asp?DDFDocuments/v/G/SPS/NBRA933.DOC")</f>
        <v>https://docs.wto.org/imrd/directdoc.asp?DDFDocuments/v/G/SPS/NBRA933.DOC</v>
      </c>
      <c r="N1715" s="2" t="str">
        <f>HYPERLINK("http://www.epingalert.org/#/details/G/SPS/N/BRA/933")</f>
        <v>http://www.epingalert.org/#/details/G/SPS/N/BRA/933</v>
      </c>
      <c r="O1715" s="2"/>
    </row>
    <row r="1716" spans="1:15" ht="240" customHeight="1" outlineLevel="1" x14ac:dyDescent="0.25">
      <c r="A1716" s="2" t="s">
        <v>18</v>
      </c>
      <c r="B1716" s="2" t="s">
        <v>6145</v>
      </c>
      <c r="C1716" s="2" t="s">
        <v>6146</v>
      </c>
      <c r="D1716" s="2" t="s">
        <v>6147</v>
      </c>
      <c r="E1716" s="3">
        <v>41740</v>
      </c>
      <c r="F1716" s="2" t="s">
        <v>4265</v>
      </c>
      <c r="G1716" s="2"/>
      <c r="H1716" s="2" t="s">
        <v>2573</v>
      </c>
      <c r="I1716" s="2" t="s">
        <v>2426</v>
      </c>
      <c r="J1716" s="2"/>
      <c r="K1716" s="2" t="str">
        <f>HYPERLINK("https://docs.wto.org/imrd/directdoc.asp?DDFDocuments/t/G/SPS/NUSA2656.DOC")</f>
        <v>https://docs.wto.org/imrd/directdoc.asp?DDFDocuments/t/G/SPS/NUSA2656.DOC</v>
      </c>
      <c r="L1716" s="2" t="str">
        <f>HYPERLINK("https://docs.wto.org/imrd/directdoc.asp?DDFDocuments/u/G/SPS/NUSA2656.DOC")</f>
        <v>https://docs.wto.org/imrd/directdoc.asp?DDFDocuments/u/G/SPS/NUSA2656.DOC</v>
      </c>
      <c r="M1716" s="2" t="str">
        <f>HYPERLINK("https://docs.wto.org/imrd/directdoc.asp?DDFDocuments/v/G/SPS/NUSA2656.DOC")</f>
        <v>https://docs.wto.org/imrd/directdoc.asp?DDFDocuments/v/G/SPS/NUSA2656.DOC</v>
      </c>
      <c r="N1716" s="2" t="str">
        <f>HYPERLINK("http://www.epingalert.org/#/details/G/SPS/N/USA/2656")</f>
        <v>http://www.epingalert.org/#/details/G/SPS/N/USA/2656</v>
      </c>
      <c r="O1716" s="2"/>
    </row>
    <row r="1717" spans="1:15" ht="240" customHeight="1" outlineLevel="1" x14ac:dyDescent="0.25">
      <c r="A1717" s="2" t="s">
        <v>42</v>
      </c>
      <c r="B1717" s="2" t="s">
        <v>6155</v>
      </c>
      <c r="C1717" s="2" t="s">
        <v>6156</v>
      </c>
      <c r="D1717" s="2" t="s">
        <v>6157</v>
      </c>
      <c r="E1717" s="3">
        <v>41739</v>
      </c>
      <c r="F1717" s="2" t="s">
        <v>6158</v>
      </c>
      <c r="G1717" s="2" t="s">
        <v>2039</v>
      </c>
      <c r="H1717" s="2" t="s">
        <v>2467</v>
      </c>
      <c r="I1717" s="2" t="s">
        <v>6159</v>
      </c>
      <c r="J1717" s="3">
        <v>41799</v>
      </c>
      <c r="K1717" s="2" t="str">
        <f>HYPERLINK("https://docs.wto.org/imrd/directdoc.asp?DDFDocuments/t/G/SPS/NBRA729R1.DOC")</f>
        <v>https://docs.wto.org/imrd/directdoc.asp?DDFDocuments/t/G/SPS/NBRA729R1.DOC</v>
      </c>
      <c r="L1717" s="2" t="str">
        <f>HYPERLINK("https://docs.wto.org/imrd/directdoc.asp?DDFDocuments/u/G/SPS/NBRA729R1.DOC")</f>
        <v>https://docs.wto.org/imrd/directdoc.asp?DDFDocuments/u/G/SPS/NBRA729R1.DOC</v>
      </c>
      <c r="M1717" s="2" t="str">
        <f>HYPERLINK("https://docs.wto.org/imrd/directdoc.asp?DDFDocuments/v/G/SPS/NBRA729R1.DOC")</f>
        <v>https://docs.wto.org/imrd/directdoc.asp?DDFDocuments/v/G/SPS/NBRA729R1.DOC</v>
      </c>
      <c r="N1717" s="2" t="str">
        <f>HYPERLINK("http://www.epingalert.org/#/details/G/SPS/N/BRA/729/Rev.1")</f>
        <v>http://www.epingalert.org/#/details/G/SPS/N/BRA/729/Rev.1</v>
      </c>
      <c r="O1717" s="2"/>
    </row>
    <row r="1718" spans="1:15" ht="240" customHeight="1" outlineLevel="1" x14ac:dyDescent="0.25">
      <c r="A1718" s="2" t="s">
        <v>77</v>
      </c>
      <c r="B1718" s="2" t="s">
        <v>8535</v>
      </c>
      <c r="C1718" s="2" t="s">
        <v>8536</v>
      </c>
      <c r="D1718" s="2" t="s">
        <v>8537</v>
      </c>
      <c r="E1718" s="3">
        <v>41738</v>
      </c>
      <c r="F1718" s="2" t="s">
        <v>8241</v>
      </c>
      <c r="G1718" s="2" t="s">
        <v>5686</v>
      </c>
      <c r="H1718" s="2" t="s">
        <v>2467</v>
      </c>
      <c r="I1718" s="2" t="s">
        <v>2713</v>
      </c>
      <c r="J1718" s="2"/>
      <c r="K1718" s="2" t="str">
        <f>HYPERLINK("https://docs.wto.org/imrd/directdoc.asp?DDFDocuments/t/G/SPS/NTPKM310.DOC")</f>
        <v>https://docs.wto.org/imrd/directdoc.asp?DDFDocuments/t/G/SPS/NTPKM310.DOC</v>
      </c>
      <c r="L1718" s="2" t="str">
        <f>HYPERLINK("https://docs.wto.org/imrd/directdoc.asp?DDFDocuments/u/G/SPS/NTPKM310.DOC")</f>
        <v>https://docs.wto.org/imrd/directdoc.asp?DDFDocuments/u/G/SPS/NTPKM310.DOC</v>
      </c>
      <c r="M1718" s="2" t="str">
        <f>HYPERLINK("https://docs.wto.org/imrd/directdoc.asp?DDFDocuments/v/G/SPS/NTPKM310.DOC")</f>
        <v>https://docs.wto.org/imrd/directdoc.asp?DDFDocuments/v/G/SPS/NTPKM310.DOC</v>
      </c>
      <c r="N1718" s="2" t="str">
        <f>HYPERLINK("http://www.epingalert.org/#/details/G/SPS/N/TPKM/310")</f>
        <v>http://www.epingalert.org/#/details/G/SPS/N/TPKM/310</v>
      </c>
      <c r="O1718" s="2"/>
    </row>
    <row r="1719" spans="1:15" ht="240" customHeight="1" outlineLevel="1" x14ac:dyDescent="0.25">
      <c r="A1719" s="2" t="s">
        <v>42</v>
      </c>
      <c r="B1719" s="2" t="s">
        <v>6164</v>
      </c>
      <c r="C1719" s="2" t="s">
        <v>6165</v>
      </c>
      <c r="D1719" s="2" t="s">
        <v>6166</v>
      </c>
      <c r="E1719" s="3">
        <v>41737</v>
      </c>
      <c r="F1719" s="2" t="s">
        <v>6167</v>
      </c>
      <c r="G1719" s="2"/>
      <c r="H1719" s="2" t="s">
        <v>2573</v>
      </c>
      <c r="I1719" s="2" t="s">
        <v>2453</v>
      </c>
      <c r="J1719" s="3">
        <v>41764</v>
      </c>
      <c r="K1719" s="2" t="str">
        <f>HYPERLINK("https://docs.wto.org/imrd/directdoc.asp?DDFDocuments/t/G/SPS/NBRA930.DOC")</f>
        <v>https://docs.wto.org/imrd/directdoc.asp?DDFDocuments/t/G/SPS/NBRA930.DOC</v>
      </c>
      <c r="L1719" s="2" t="str">
        <f>HYPERLINK("https://docs.wto.org/imrd/directdoc.asp?DDFDocuments/u/G/SPS/NBRA930.DOC")</f>
        <v>https://docs.wto.org/imrd/directdoc.asp?DDFDocuments/u/G/SPS/NBRA930.DOC</v>
      </c>
      <c r="M1719" s="2" t="str">
        <f>HYPERLINK("https://docs.wto.org/imrd/directdoc.asp?DDFDocuments/v/G/SPS/NBRA930.DOC")</f>
        <v>https://docs.wto.org/imrd/directdoc.asp?DDFDocuments/v/G/SPS/NBRA930.DOC</v>
      </c>
      <c r="N1719" s="2" t="str">
        <f>HYPERLINK("http://www.epingalert.org/#/details/G/SPS/N/BRA/930")</f>
        <v>http://www.epingalert.org/#/details/G/SPS/N/BRA/930</v>
      </c>
      <c r="O1719" s="2"/>
    </row>
    <row r="1720" spans="1:15" ht="240" customHeight="1" outlineLevel="1" x14ac:dyDescent="0.25">
      <c r="A1720" s="2" t="s">
        <v>18</v>
      </c>
      <c r="B1720" s="2" t="s">
        <v>6160</v>
      </c>
      <c r="C1720" s="2"/>
      <c r="D1720" s="2"/>
      <c r="E1720" s="3">
        <v>41737</v>
      </c>
      <c r="F1720" s="2" t="s">
        <v>6161</v>
      </c>
      <c r="G1720" s="2"/>
      <c r="H1720" s="2" t="s">
        <v>2648</v>
      </c>
      <c r="I1720" s="2" t="s">
        <v>2444</v>
      </c>
      <c r="J1720" s="2"/>
      <c r="K1720" s="2" t="str">
        <f>HYPERLINK("https://docs.wto.org/imrd/directdoc.asp?DDFDocuments/t/G/SPS/NUSA703A4.DOC")</f>
        <v>https://docs.wto.org/imrd/directdoc.asp?DDFDocuments/t/G/SPS/NUSA703A4.DOC</v>
      </c>
      <c r="L1720" s="2" t="str">
        <f>HYPERLINK("https://docs.wto.org/imrd/directdoc.asp?DDFDocuments/u/G/SPS/NUSA703A4.DOC")</f>
        <v>https://docs.wto.org/imrd/directdoc.asp?DDFDocuments/u/G/SPS/NUSA703A4.DOC</v>
      </c>
      <c r="M1720" s="2" t="str">
        <f>HYPERLINK("https://docs.wto.org/imrd/directdoc.asp?DDFDocuments/v/G/SPS/NUSA703A4.DOC")</f>
        <v>https://docs.wto.org/imrd/directdoc.asp?DDFDocuments/v/G/SPS/NUSA703A4.DOC</v>
      </c>
      <c r="N1720" s="2" t="str">
        <f>HYPERLINK("http://www.epingalert.org/#/details/G/SPS/N/USA/703/Add.4")</f>
        <v>http://www.epingalert.org/#/details/G/SPS/N/USA/703/Add.4</v>
      </c>
      <c r="O1720" s="2"/>
    </row>
    <row r="1721" spans="1:15" ht="240" customHeight="1" outlineLevel="1" x14ac:dyDescent="0.25">
      <c r="A1721" s="2" t="s">
        <v>12</v>
      </c>
      <c r="B1721" s="2" t="s">
        <v>6162</v>
      </c>
      <c r="C1721" s="2"/>
      <c r="D1721" s="2"/>
      <c r="E1721" s="3">
        <v>41737</v>
      </c>
      <c r="F1721" s="2" t="s">
        <v>6163</v>
      </c>
      <c r="G1721" s="2"/>
      <c r="H1721" s="2" t="s">
        <v>2573</v>
      </c>
      <c r="I1721" s="2" t="s">
        <v>2444</v>
      </c>
      <c r="J1721" s="2"/>
      <c r="K1721" s="2" t="str">
        <f>HYPERLINK("https://docs.wto.org/imrd/directdoc.asp?DDFDocuments/t/G/SPS/NEU15A4.DOC")</f>
        <v>https://docs.wto.org/imrd/directdoc.asp?DDFDocuments/t/G/SPS/NEU15A4.DOC</v>
      </c>
      <c r="L1721" s="2" t="str">
        <f>HYPERLINK("https://docs.wto.org/imrd/directdoc.asp?DDFDocuments/u/G/SPS/NEU15A4.DOC")</f>
        <v>https://docs.wto.org/imrd/directdoc.asp?DDFDocuments/u/G/SPS/NEU15A4.DOC</v>
      </c>
      <c r="M1721" s="2" t="str">
        <f>HYPERLINK("https://docs.wto.org/imrd/directdoc.asp?DDFDocuments/v/G/SPS/NEU15A4.DOC")</f>
        <v>https://docs.wto.org/imrd/directdoc.asp?DDFDocuments/v/G/SPS/NEU15A4.DOC</v>
      </c>
      <c r="N1721" s="2" t="str">
        <f>HYPERLINK("http://www.epingalert.org/#/details/G/SPS/N/EU/15/Add.4")</f>
        <v>http://www.epingalert.org/#/details/G/SPS/N/EU/15/Add.4</v>
      </c>
      <c r="O1721" s="2"/>
    </row>
    <row r="1722" spans="1:15" ht="240" customHeight="1" outlineLevel="1" x14ac:dyDescent="0.25">
      <c r="A1722" s="2" t="s">
        <v>1042</v>
      </c>
      <c r="B1722" s="2" t="s">
        <v>8555</v>
      </c>
      <c r="C1722" s="2" t="s">
        <v>8556</v>
      </c>
      <c r="D1722" s="2" t="s">
        <v>8557</v>
      </c>
      <c r="E1722" s="3">
        <v>41736</v>
      </c>
      <c r="F1722" s="2" t="s">
        <v>8558</v>
      </c>
      <c r="G1722" s="2" t="s">
        <v>8095</v>
      </c>
      <c r="H1722" s="2" t="s">
        <v>2573</v>
      </c>
      <c r="I1722" s="2" t="s">
        <v>8559</v>
      </c>
      <c r="J1722" s="3">
        <v>41792</v>
      </c>
      <c r="K1722" s="2" t="str">
        <f>HYPERLINK("https://docs.wto.org/imrd/directdoc.asp?DDFDocuments/t/G/SPS/NPHL253.DOC")</f>
        <v>https://docs.wto.org/imrd/directdoc.asp?DDFDocuments/t/G/SPS/NPHL253.DOC</v>
      </c>
      <c r="L1722" s="2" t="str">
        <f>HYPERLINK("https://docs.wto.org/imrd/directdoc.asp?DDFDocuments/u/G/SPS/NPHL253.DOC")</f>
        <v>https://docs.wto.org/imrd/directdoc.asp?DDFDocuments/u/G/SPS/NPHL253.DOC</v>
      </c>
      <c r="M1722" s="2" t="str">
        <f>HYPERLINK("https://docs.wto.org/imrd/directdoc.asp?DDFDocuments/v/G/SPS/NPHL253.DOC")</f>
        <v>https://docs.wto.org/imrd/directdoc.asp?DDFDocuments/v/G/SPS/NPHL253.DOC</v>
      </c>
      <c r="N1722" s="2" t="str">
        <f>HYPERLINK("http://www.epingalert.org/#/details/G/SPS/N/PHL/253")</f>
        <v>http://www.epingalert.org/#/details/G/SPS/N/PHL/253</v>
      </c>
      <c r="O1722" s="2"/>
    </row>
    <row r="1723" spans="1:15" ht="240" customHeight="1" outlineLevel="1" x14ac:dyDescent="0.25">
      <c r="A1723" s="2" t="s">
        <v>1042</v>
      </c>
      <c r="B1723" s="2" t="s">
        <v>8560</v>
      </c>
      <c r="C1723" s="2" t="s">
        <v>8561</v>
      </c>
      <c r="D1723" s="2" t="s">
        <v>8562</v>
      </c>
      <c r="E1723" s="3">
        <v>41736</v>
      </c>
      <c r="F1723" s="2" t="s">
        <v>8563</v>
      </c>
      <c r="G1723" s="2" t="s">
        <v>8564</v>
      </c>
      <c r="H1723" s="2" t="s">
        <v>2573</v>
      </c>
      <c r="I1723" s="2" t="s">
        <v>8565</v>
      </c>
      <c r="J1723" s="3">
        <v>41792</v>
      </c>
      <c r="K1723" s="2" t="str">
        <f>HYPERLINK("https://docs.wto.org/imrd/directdoc.asp?DDFDocuments/t/G/SPS/NPHL252.DOC")</f>
        <v>https://docs.wto.org/imrd/directdoc.asp?DDFDocuments/t/G/SPS/NPHL252.DOC</v>
      </c>
      <c r="L1723" s="2" t="str">
        <f>HYPERLINK("https://docs.wto.org/imrd/directdoc.asp?DDFDocuments/u/G/SPS/NPHL252.DOC")</f>
        <v>https://docs.wto.org/imrd/directdoc.asp?DDFDocuments/u/G/SPS/NPHL252.DOC</v>
      </c>
      <c r="M1723" s="2" t="str">
        <f>HYPERLINK("https://docs.wto.org/imrd/directdoc.asp?DDFDocuments/v/G/SPS/NPHL252.DOC")</f>
        <v>https://docs.wto.org/imrd/directdoc.asp?DDFDocuments/v/G/SPS/NPHL252.DOC</v>
      </c>
      <c r="N1723" s="2" t="str">
        <f>HYPERLINK("http://www.epingalert.org/#/details/G/SPS/N/PHL/252")</f>
        <v>http://www.epingalert.org/#/details/G/SPS/N/PHL/252</v>
      </c>
      <c r="O1723" s="2"/>
    </row>
    <row r="1724" spans="1:15" ht="240" customHeight="1" outlineLevel="1" x14ac:dyDescent="0.25">
      <c r="A1724" s="2" t="s">
        <v>6200</v>
      </c>
      <c r="B1724" s="2" t="s">
        <v>8538</v>
      </c>
      <c r="C1724" s="2" t="s">
        <v>8539</v>
      </c>
      <c r="D1724" s="2" t="s">
        <v>8540</v>
      </c>
      <c r="E1724" s="3">
        <v>41736</v>
      </c>
      <c r="F1724" s="2" t="s">
        <v>8541</v>
      </c>
      <c r="G1724" s="2" t="s">
        <v>2039</v>
      </c>
      <c r="H1724" s="2" t="s">
        <v>2648</v>
      </c>
      <c r="I1724" s="2" t="s">
        <v>7039</v>
      </c>
      <c r="J1724" s="2"/>
      <c r="K1724" s="2" t="str">
        <f>HYPERLINK("https://docs.wto.org/imrd/directdoc.asp?DDFDocuments/t/G/SPS/NURY25.DOC")</f>
        <v>https://docs.wto.org/imrd/directdoc.asp?DDFDocuments/t/G/SPS/NURY25.DOC</v>
      </c>
      <c r="L1724" s="2" t="str">
        <f>HYPERLINK("https://docs.wto.org/imrd/directdoc.asp?DDFDocuments/u/G/SPS/NURY25.DOC")</f>
        <v>https://docs.wto.org/imrd/directdoc.asp?DDFDocuments/u/G/SPS/NURY25.DOC</v>
      </c>
      <c r="M1724" s="2" t="str">
        <f>HYPERLINK("https://docs.wto.org/imrd/directdoc.asp?DDFDocuments/v/G/SPS/NURY25.DOC")</f>
        <v>https://docs.wto.org/imrd/directdoc.asp?DDFDocuments/v/G/SPS/NURY25.DOC</v>
      </c>
      <c r="N1724" s="2" t="str">
        <f>HYPERLINK("http://www.epingalert.org/#/details/G/SPS/N/URY/25")</f>
        <v>http://www.epingalert.org/#/details/G/SPS/N/URY/25</v>
      </c>
      <c r="O1724" s="2"/>
    </row>
    <row r="1725" spans="1:15" ht="240" customHeight="1" outlineLevel="1" x14ac:dyDescent="0.25">
      <c r="A1725" s="2" t="s">
        <v>6200</v>
      </c>
      <c r="B1725" s="2" t="s">
        <v>8542</v>
      </c>
      <c r="C1725" s="2" t="s">
        <v>8543</v>
      </c>
      <c r="D1725" s="2" t="s">
        <v>8544</v>
      </c>
      <c r="E1725" s="3">
        <v>41736</v>
      </c>
      <c r="F1725" s="2" t="s">
        <v>8545</v>
      </c>
      <c r="G1725" s="2" t="s">
        <v>2039</v>
      </c>
      <c r="H1725" s="2" t="s">
        <v>2648</v>
      </c>
      <c r="I1725" s="2" t="s">
        <v>7039</v>
      </c>
      <c r="J1725" s="2"/>
      <c r="K1725" s="2" t="str">
        <f>HYPERLINK("https://docs.wto.org/imrd/directdoc.asp?DDFDocuments/t/G/SPS/NURY22.DOC")</f>
        <v>https://docs.wto.org/imrd/directdoc.asp?DDFDocuments/t/G/SPS/NURY22.DOC</v>
      </c>
      <c r="L1725" s="2" t="str">
        <f>HYPERLINK("https://docs.wto.org/imrd/directdoc.asp?DDFDocuments/u/G/SPS/NURY22.DOC")</f>
        <v>https://docs.wto.org/imrd/directdoc.asp?DDFDocuments/u/G/SPS/NURY22.DOC</v>
      </c>
      <c r="M1725" s="2" t="str">
        <f>HYPERLINK("https://docs.wto.org/imrd/directdoc.asp?DDFDocuments/v/G/SPS/NURY22.DOC")</f>
        <v>https://docs.wto.org/imrd/directdoc.asp?DDFDocuments/v/G/SPS/NURY22.DOC</v>
      </c>
      <c r="N1725" s="2" t="str">
        <f>HYPERLINK("http://www.epingalert.org/#/details/G/SPS/N/URY/22")</f>
        <v>http://www.epingalert.org/#/details/G/SPS/N/URY/22</v>
      </c>
      <c r="O1725" s="2"/>
    </row>
    <row r="1726" spans="1:15" ht="240" customHeight="1" outlineLevel="1" x14ac:dyDescent="0.25">
      <c r="A1726" s="2" t="s">
        <v>6200</v>
      </c>
      <c r="B1726" s="2" t="s">
        <v>8546</v>
      </c>
      <c r="C1726" s="2" t="s">
        <v>8547</v>
      </c>
      <c r="D1726" s="2" t="s">
        <v>8548</v>
      </c>
      <c r="E1726" s="3">
        <v>41736</v>
      </c>
      <c r="F1726" s="2" t="s">
        <v>8549</v>
      </c>
      <c r="G1726" s="2" t="s">
        <v>2039</v>
      </c>
      <c r="H1726" s="2" t="s">
        <v>2648</v>
      </c>
      <c r="I1726" s="2" t="s">
        <v>8550</v>
      </c>
      <c r="J1726" s="2"/>
      <c r="K1726" s="2" t="str">
        <f>HYPERLINK("https://docs.wto.org/imrd/directdoc.asp?DDFDocuments/t/G/SPS/NURY21.DOC")</f>
        <v>https://docs.wto.org/imrd/directdoc.asp?DDFDocuments/t/G/SPS/NURY21.DOC</v>
      </c>
      <c r="L1726" s="2" t="str">
        <f>HYPERLINK("https://docs.wto.org/imrd/directdoc.asp?DDFDocuments/u/G/SPS/NURY21.DOC")</f>
        <v>https://docs.wto.org/imrd/directdoc.asp?DDFDocuments/u/G/SPS/NURY21.DOC</v>
      </c>
      <c r="M1726" s="2" t="str">
        <f>HYPERLINK("https://docs.wto.org/imrd/directdoc.asp?DDFDocuments/v/G/SPS/NURY21.DOC")</f>
        <v>https://docs.wto.org/imrd/directdoc.asp?DDFDocuments/v/G/SPS/NURY21.DOC</v>
      </c>
      <c r="N1726" s="2" t="str">
        <f>HYPERLINK("http://www.epingalert.org/#/details/G/SPS/N/URY/21")</f>
        <v>http://www.epingalert.org/#/details/G/SPS/N/URY/21</v>
      </c>
      <c r="O1726" s="2"/>
    </row>
    <row r="1727" spans="1:15" ht="240" customHeight="1" outlineLevel="1" x14ac:dyDescent="0.25">
      <c r="A1727" s="2" t="s">
        <v>6200</v>
      </c>
      <c r="B1727" s="2" t="s">
        <v>8551</v>
      </c>
      <c r="C1727" s="2" t="s">
        <v>8552</v>
      </c>
      <c r="D1727" s="2" t="s">
        <v>8553</v>
      </c>
      <c r="E1727" s="3">
        <v>41736</v>
      </c>
      <c r="F1727" s="2" t="s">
        <v>8554</v>
      </c>
      <c r="G1727" s="2" t="s">
        <v>2039</v>
      </c>
      <c r="H1727" s="2" t="s">
        <v>2648</v>
      </c>
      <c r="I1727" s="2" t="s">
        <v>8550</v>
      </c>
      <c r="J1727" s="2"/>
      <c r="K1727" s="2" t="str">
        <f>HYPERLINK("https://docs.wto.org/imrd/directdoc.asp?DDFDocuments/t/G/SPS/NURY20.DOC")</f>
        <v>https://docs.wto.org/imrd/directdoc.asp?DDFDocuments/t/G/SPS/NURY20.DOC</v>
      </c>
      <c r="L1727" s="2" t="str">
        <f>HYPERLINK("https://docs.wto.org/imrd/directdoc.asp?DDFDocuments/u/G/SPS/NURY20.DOC")</f>
        <v>https://docs.wto.org/imrd/directdoc.asp?DDFDocuments/u/G/SPS/NURY20.DOC</v>
      </c>
      <c r="M1727" s="2" t="str">
        <f>HYPERLINK("https://docs.wto.org/imrd/directdoc.asp?DDFDocuments/v/G/SPS/NURY20.DOC")</f>
        <v>https://docs.wto.org/imrd/directdoc.asp?DDFDocuments/v/G/SPS/NURY20.DOC</v>
      </c>
      <c r="N1727" s="2" t="str">
        <f>HYPERLINK("http://www.epingalert.org/#/details/G/SPS/N/URY/20")</f>
        <v>http://www.epingalert.org/#/details/G/SPS/N/URY/20</v>
      </c>
      <c r="O1727" s="2"/>
    </row>
    <row r="1728" spans="1:15" ht="240" customHeight="1" outlineLevel="1" x14ac:dyDescent="0.25">
      <c r="A1728" s="2" t="s">
        <v>12</v>
      </c>
      <c r="B1728" s="2" t="s">
        <v>6168</v>
      </c>
      <c r="C1728" s="2" t="s">
        <v>6169</v>
      </c>
      <c r="D1728" s="2" t="s">
        <v>6170</v>
      </c>
      <c r="E1728" s="3">
        <v>41733</v>
      </c>
      <c r="F1728" s="2" t="s">
        <v>2451</v>
      </c>
      <c r="G1728" s="2" t="s">
        <v>6171</v>
      </c>
      <c r="H1728" s="2" t="s">
        <v>2573</v>
      </c>
      <c r="I1728" s="2" t="s">
        <v>2453</v>
      </c>
      <c r="J1728" s="3">
        <v>41793</v>
      </c>
      <c r="K1728" s="2" t="str">
        <f>HYPERLINK("https://docs.wto.org/imrd/directdoc.asp?DDFDocuments/t/G/SPS/NEU70.DOC")</f>
        <v>https://docs.wto.org/imrd/directdoc.asp?DDFDocuments/t/G/SPS/NEU70.DOC</v>
      </c>
      <c r="L1728" s="2" t="str">
        <f>HYPERLINK("https://docs.wto.org/imrd/directdoc.asp?DDFDocuments/u/G/SPS/NEU70.DOC")</f>
        <v>https://docs.wto.org/imrd/directdoc.asp?DDFDocuments/u/G/SPS/NEU70.DOC</v>
      </c>
      <c r="M1728" s="2" t="str">
        <f>HYPERLINK("https://docs.wto.org/imrd/directdoc.asp?DDFDocuments/v/G/SPS/NEU70.DOC")</f>
        <v>https://docs.wto.org/imrd/directdoc.asp?DDFDocuments/v/G/SPS/NEU70.DOC</v>
      </c>
      <c r="N1728" s="2" t="str">
        <f>HYPERLINK("http://www.epingalert.org/#/details/G/SPS/N/EU/70")</f>
        <v>http://www.epingalert.org/#/details/G/SPS/N/EU/70</v>
      </c>
      <c r="O1728" s="2"/>
    </row>
    <row r="1729" spans="1:15" ht="240" customHeight="1" outlineLevel="1" x14ac:dyDescent="0.25">
      <c r="A1729" s="2" t="s">
        <v>12</v>
      </c>
      <c r="B1729" s="2" t="s">
        <v>6172</v>
      </c>
      <c r="C1729" s="2" t="s">
        <v>6173</v>
      </c>
      <c r="D1729" s="2" t="s">
        <v>6174</v>
      </c>
      <c r="E1729" s="3">
        <v>41733</v>
      </c>
      <c r="F1729" s="2" t="s">
        <v>2451</v>
      </c>
      <c r="G1729" s="2" t="s">
        <v>6175</v>
      </c>
      <c r="H1729" s="2" t="s">
        <v>2573</v>
      </c>
      <c r="I1729" s="2" t="s">
        <v>2453</v>
      </c>
      <c r="J1729" s="3">
        <v>41793</v>
      </c>
      <c r="K1729" s="2" t="str">
        <f>HYPERLINK("https://docs.wto.org/imrd/directdoc.asp?DDFDocuments/t/G/SPS/NEU71.DOC")</f>
        <v>https://docs.wto.org/imrd/directdoc.asp?DDFDocuments/t/G/SPS/NEU71.DOC</v>
      </c>
      <c r="L1729" s="2" t="str">
        <f>HYPERLINK("https://docs.wto.org/imrd/directdoc.asp?DDFDocuments/u/G/SPS/NEU71.DOC")</f>
        <v>https://docs.wto.org/imrd/directdoc.asp?DDFDocuments/u/G/SPS/NEU71.DOC</v>
      </c>
      <c r="M1729" s="2" t="str">
        <f>HYPERLINK("https://docs.wto.org/imrd/directdoc.asp?DDFDocuments/v/G/SPS/NEU71.DOC")</f>
        <v>https://docs.wto.org/imrd/directdoc.asp?DDFDocuments/v/G/SPS/NEU71.DOC</v>
      </c>
      <c r="N1729" s="2" t="str">
        <f>HYPERLINK("http://www.epingalert.org/#/details/G/SPS/N/EU/71")</f>
        <v>http://www.epingalert.org/#/details/G/SPS/N/EU/71</v>
      </c>
      <c r="O1729" s="2"/>
    </row>
    <row r="1730" spans="1:15" ht="240" customHeight="1" outlineLevel="1" x14ac:dyDescent="0.25">
      <c r="A1730" s="2" t="s">
        <v>282</v>
      </c>
      <c r="B1730" s="2" t="s">
        <v>8566</v>
      </c>
      <c r="C1730" s="2"/>
      <c r="D1730" s="2"/>
      <c r="E1730" s="3">
        <v>41733</v>
      </c>
      <c r="F1730" s="2" t="s">
        <v>8567</v>
      </c>
      <c r="G1730" s="2" t="s">
        <v>8568</v>
      </c>
      <c r="H1730" s="2" t="s">
        <v>2648</v>
      </c>
      <c r="I1730" s="2" t="s">
        <v>2491</v>
      </c>
      <c r="J1730" s="2"/>
      <c r="K1730" s="2" t="str">
        <f>HYPERLINK("https://docs.wto.org/imrd/directdoc.asp?DDFDocuments/t/G/SPS/NRUS49A1.DOC")</f>
        <v>https://docs.wto.org/imrd/directdoc.asp?DDFDocuments/t/G/SPS/NRUS49A1.DOC</v>
      </c>
      <c r="L1730" s="2" t="str">
        <f>HYPERLINK("https://docs.wto.org/imrd/directdoc.asp?DDFDocuments/u/G/SPS/NRUS49A1.DOC")</f>
        <v>https://docs.wto.org/imrd/directdoc.asp?DDFDocuments/u/G/SPS/NRUS49A1.DOC</v>
      </c>
      <c r="M1730" s="2" t="str">
        <f>HYPERLINK("https://docs.wto.org/imrd/directdoc.asp?DDFDocuments/v/G/SPS/NRUS49A1.DOC")</f>
        <v>https://docs.wto.org/imrd/directdoc.asp?DDFDocuments/v/G/SPS/NRUS49A1.DOC</v>
      </c>
      <c r="N1730" s="2" t="str">
        <f>HYPERLINK("http://www.epingalert.org/#/details/G/SPS/N/RUS/49/Add.1")</f>
        <v>http://www.epingalert.org/#/details/G/SPS/N/RUS/49/Add.1</v>
      </c>
      <c r="O1730" s="2"/>
    </row>
    <row r="1731" spans="1:15" ht="240" customHeight="1" outlineLevel="1" x14ac:dyDescent="0.25">
      <c r="A1731" s="2" t="s">
        <v>282</v>
      </c>
      <c r="B1731" s="2" t="s">
        <v>8569</v>
      </c>
      <c r="C1731" s="2"/>
      <c r="D1731" s="2"/>
      <c r="E1731" s="3">
        <v>41733</v>
      </c>
      <c r="F1731" s="2" t="s">
        <v>8567</v>
      </c>
      <c r="G1731" s="2" t="s">
        <v>8570</v>
      </c>
      <c r="H1731" s="2" t="s">
        <v>2648</v>
      </c>
      <c r="I1731" s="2" t="s">
        <v>2491</v>
      </c>
      <c r="J1731" s="2"/>
      <c r="K1731" s="2" t="str">
        <f>HYPERLINK("https://docs.wto.org/imrd/directdoc.asp?DDFDocuments/t/G/SPS/NRUS48A2.DOC")</f>
        <v>https://docs.wto.org/imrd/directdoc.asp?DDFDocuments/t/G/SPS/NRUS48A2.DOC</v>
      </c>
      <c r="L1731" s="2" t="str">
        <f>HYPERLINK("https://docs.wto.org/imrd/directdoc.asp?DDFDocuments/u/G/SPS/NRUS48A2.DOC")</f>
        <v>https://docs.wto.org/imrd/directdoc.asp?DDFDocuments/u/G/SPS/NRUS48A2.DOC</v>
      </c>
      <c r="M1731" s="2" t="str">
        <f>HYPERLINK("https://docs.wto.org/imrd/directdoc.asp?DDFDocuments/v/G/SPS/NRUS48A2.DOC")</f>
        <v>https://docs.wto.org/imrd/directdoc.asp?DDFDocuments/v/G/SPS/NRUS48A2.DOC</v>
      </c>
      <c r="N1731" s="2" t="str">
        <f>HYPERLINK("http://www.epingalert.org/#/details/G/SPS/N/RUS/48/Add.2")</f>
        <v>http://www.epingalert.org/#/details/G/SPS/N/RUS/48/Add.2</v>
      </c>
      <c r="O1731" s="2"/>
    </row>
    <row r="1732" spans="1:15" ht="240" customHeight="1" outlineLevel="1" x14ac:dyDescent="0.25">
      <c r="A1732" s="2" t="s">
        <v>77</v>
      </c>
      <c r="B1732" s="2" t="s">
        <v>8571</v>
      </c>
      <c r="C1732" s="2"/>
      <c r="D1732" s="2"/>
      <c r="E1732" s="3">
        <v>41733</v>
      </c>
      <c r="F1732" s="2" t="s">
        <v>8572</v>
      </c>
      <c r="G1732" s="2" t="s">
        <v>6736</v>
      </c>
      <c r="H1732" s="2" t="s">
        <v>2573</v>
      </c>
      <c r="I1732" s="2" t="s">
        <v>2444</v>
      </c>
      <c r="J1732" s="2"/>
      <c r="K1732" s="2" t="str">
        <f>HYPERLINK("https://docs.wto.org/imrd/directdoc.asp?DDFDocuments/t/G/SPS/NTPKM303A1.DOC")</f>
        <v>https://docs.wto.org/imrd/directdoc.asp?DDFDocuments/t/G/SPS/NTPKM303A1.DOC</v>
      </c>
      <c r="L1732" s="2" t="str">
        <f>HYPERLINK("https://docs.wto.org/imrd/directdoc.asp?DDFDocuments/u/G/SPS/NTPKM303A1.DOC")</f>
        <v>https://docs.wto.org/imrd/directdoc.asp?DDFDocuments/u/G/SPS/NTPKM303A1.DOC</v>
      </c>
      <c r="M1732" s="2" t="str">
        <f>HYPERLINK("https://docs.wto.org/imrd/directdoc.asp?DDFDocuments/v/G/SPS/NTPKM303A1.DOC")</f>
        <v>https://docs.wto.org/imrd/directdoc.asp?DDFDocuments/v/G/SPS/NTPKM303A1.DOC</v>
      </c>
      <c r="N1732" s="2" t="str">
        <f>HYPERLINK("http://www.epingalert.org/#/details/G/SPS/N/TPKM/303/Add.1")</f>
        <v>http://www.epingalert.org/#/details/G/SPS/N/TPKM/303/Add.1</v>
      </c>
      <c r="O1732" s="2"/>
    </row>
    <row r="1733" spans="1:15" ht="240" customHeight="1" outlineLevel="1" x14ac:dyDescent="0.25">
      <c r="A1733" s="2" t="s">
        <v>12</v>
      </c>
      <c r="B1733" s="2" t="s">
        <v>8574</v>
      </c>
      <c r="C1733" s="2" t="s">
        <v>8575</v>
      </c>
      <c r="D1733" s="2" t="s">
        <v>8576</v>
      </c>
      <c r="E1733" s="3">
        <v>41733</v>
      </c>
      <c r="F1733" s="2" t="s">
        <v>8577</v>
      </c>
      <c r="G1733" s="2" t="s">
        <v>8578</v>
      </c>
      <c r="H1733" s="2" t="s">
        <v>2573</v>
      </c>
      <c r="I1733" s="2" t="s">
        <v>3081</v>
      </c>
      <c r="J1733" s="2"/>
      <c r="K1733" s="2" t="str">
        <f>HYPERLINK("https://docs.wto.org/imrd/directdoc.asp?DDFDocuments/t/G/SPS/NEU73.DOC")</f>
        <v>https://docs.wto.org/imrd/directdoc.asp?DDFDocuments/t/G/SPS/NEU73.DOC</v>
      </c>
      <c r="L1733" s="2" t="str">
        <f>HYPERLINK("https://docs.wto.org/imrd/directdoc.asp?DDFDocuments/u/G/SPS/NEU73.DOC")</f>
        <v>https://docs.wto.org/imrd/directdoc.asp?DDFDocuments/u/G/SPS/NEU73.DOC</v>
      </c>
      <c r="M1733" s="2" t="str">
        <f>HYPERLINK("https://docs.wto.org/imrd/directdoc.asp?DDFDocuments/v/G/SPS/NEU73.DOC")</f>
        <v>https://docs.wto.org/imrd/directdoc.asp?DDFDocuments/v/G/SPS/NEU73.DOC</v>
      </c>
      <c r="N1733" s="2" t="str">
        <f>HYPERLINK("http://www.epingalert.org/#/details/G/SPS/N/EU/73")</f>
        <v>http://www.epingalert.org/#/details/G/SPS/N/EU/73</v>
      </c>
      <c r="O1733" s="2"/>
    </row>
    <row r="1734" spans="1:15" ht="240" customHeight="1" outlineLevel="1" x14ac:dyDescent="0.25">
      <c r="A1734" s="2" t="s">
        <v>115</v>
      </c>
      <c r="B1734" s="2" t="s">
        <v>6176</v>
      </c>
      <c r="C1734" s="2" t="s">
        <v>6177</v>
      </c>
      <c r="D1734" s="2" t="s">
        <v>6178</v>
      </c>
      <c r="E1734" s="3">
        <v>41731</v>
      </c>
      <c r="F1734" s="2" t="s">
        <v>6179</v>
      </c>
      <c r="G1734" s="2" t="s">
        <v>2039</v>
      </c>
      <c r="H1734" s="2" t="s">
        <v>2467</v>
      </c>
      <c r="I1734" s="2" t="s">
        <v>6180</v>
      </c>
      <c r="J1734" s="3">
        <v>41791</v>
      </c>
      <c r="K1734" s="2" t="str">
        <f>HYPERLINK("https://docs.wto.org/imrd/directdoc.asp?DDFDocuments/t/G/SPS/NJPN337.DOC")</f>
        <v>https://docs.wto.org/imrd/directdoc.asp?DDFDocuments/t/G/SPS/NJPN337.DOC</v>
      </c>
      <c r="L1734" s="2" t="str">
        <f>HYPERLINK("https://docs.wto.org/imrd/directdoc.asp?DDFDocuments/u/G/SPS/NJPN337.DOC")</f>
        <v>https://docs.wto.org/imrd/directdoc.asp?DDFDocuments/u/G/SPS/NJPN337.DOC</v>
      </c>
      <c r="M1734" s="2" t="str">
        <f>HYPERLINK("https://docs.wto.org/imrd/directdoc.asp?DDFDocuments/v/G/SPS/NJPN337.DOC")</f>
        <v>https://docs.wto.org/imrd/directdoc.asp?DDFDocuments/v/G/SPS/NJPN337.DOC</v>
      </c>
      <c r="N1734" s="2" t="str">
        <f>HYPERLINK("http://www.epingalert.org/#/details/G/SPS/N/JPN/337")</f>
        <v>http://www.epingalert.org/#/details/G/SPS/N/JPN/337</v>
      </c>
      <c r="O1734" s="2"/>
    </row>
    <row r="1735" spans="1:15" ht="240" customHeight="1" outlineLevel="1" x14ac:dyDescent="0.25">
      <c r="A1735" s="2" t="s">
        <v>282</v>
      </c>
      <c r="B1735" s="2" t="s">
        <v>8582</v>
      </c>
      <c r="C1735" s="2" t="s">
        <v>8583</v>
      </c>
      <c r="D1735" s="2" t="s">
        <v>8584</v>
      </c>
      <c r="E1735" s="3">
        <v>41731</v>
      </c>
      <c r="F1735" s="2" t="s">
        <v>7992</v>
      </c>
      <c r="G1735" s="2" t="s">
        <v>8585</v>
      </c>
      <c r="H1735" s="2" t="s">
        <v>2573</v>
      </c>
      <c r="I1735" s="2" t="s">
        <v>2453</v>
      </c>
      <c r="J1735" s="3">
        <v>41791</v>
      </c>
      <c r="K1735" s="2" t="str">
        <f>HYPERLINK("https://docs.wto.org/imrd/directdoc.asp?DDFDocuments/t/G/SPS/NRUS50.DOC")</f>
        <v>https://docs.wto.org/imrd/directdoc.asp?DDFDocuments/t/G/SPS/NRUS50.DOC</v>
      </c>
      <c r="L1735" s="2" t="str">
        <f>HYPERLINK("https://docs.wto.org/imrd/directdoc.asp?DDFDocuments/u/G/SPS/NRUS50.DOC")</f>
        <v>https://docs.wto.org/imrd/directdoc.asp?DDFDocuments/u/G/SPS/NRUS50.DOC</v>
      </c>
      <c r="M1735" s="2" t="str">
        <f>HYPERLINK("https://docs.wto.org/imrd/directdoc.asp?DDFDocuments/v/G/SPS/NRUS50.DOC")</f>
        <v>https://docs.wto.org/imrd/directdoc.asp?DDFDocuments/v/G/SPS/NRUS50.DOC</v>
      </c>
      <c r="N1735" s="2" t="str">
        <f>HYPERLINK("http://www.epingalert.org/#/details/G/SPS/N/RUS/50")</f>
        <v>http://www.epingalert.org/#/details/G/SPS/N/RUS/50</v>
      </c>
      <c r="O1735" s="2"/>
    </row>
    <row r="1736" spans="1:15" ht="240" customHeight="1" outlineLevel="1" x14ac:dyDescent="0.25">
      <c r="A1736" s="2" t="s">
        <v>115</v>
      </c>
      <c r="B1736" s="2" t="s">
        <v>8586</v>
      </c>
      <c r="C1736" s="2" t="s">
        <v>6754</v>
      </c>
      <c r="D1736" s="2" t="s">
        <v>8587</v>
      </c>
      <c r="E1736" s="3">
        <v>41731</v>
      </c>
      <c r="F1736" s="2" t="s">
        <v>6775</v>
      </c>
      <c r="G1736" s="2" t="s">
        <v>8588</v>
      </c>
      <c r="H1736" s="2" t="s">
        <v>2573</v>
      </c>
      <c r="I1736" s="2" t="s">
        <v>2431</v>
      </c>
      <c r="J1736" s="3">
        <v>41791</v>
      </c>
      <c r="K1736" s="2" t="str">
        <f>HYPERLINK("https://docs.wto.org/imrd/directdoc.asp?DDFDocuments/t/G/SPS/NJPN339.DOC")</f>
        <v>https://docs.wto.org/imrd/directdoc.asp?DDFDocuments/t/G/SPS/NJPN339.DOC</v>
      </c>
      <c r="L1736" s="2" t="str">
        <f>HYPERLINK("https://docs.wto.org/imrd/directdoc.asp?DDFDocuments/u/G/SPS/NJPN339.DOC")</f>
        <v>https://docs.wto.org/imrd/directdoc.asp?DDFDocuments/u/G/SPS/NJPN339.DOC</v>
      </c>
      <c r="M1736" s="2" t="str">
        <f>HYPERLINK("https://docs.wto.org/imrd/directdoc.asp?DDFDocuments/v/G/SPS/NJPN339.DOC")</f>
        <v>https://docs.wto.org/imrd/directdoc.asp?DDFDocuments/v/G/SPS/NJPN339.DOC</v>
      </c>
      <c r="N1736" s="2" t="str">
        <f>HYPERLINK("http://www.epingalert.org/#/details/G/SPS/N/JPN/339")</f>
        <v>http://www.epingalert.org/#/details/G/SPS/N/JPN/339</v>
      </c>
      <c r="O1736" s="2"/>
    </row>
    <row r="1737" spans="1:15" ht="240" customHeight="1" outlineLevel="1" x14ac:dyDescent="0.25">
      <c r="A1737" s="2" t="s">
        <v>115</v>
      </c>
      <c r="B1737" s="2" t="s">
        <v>8589</v>
      </c>
      <c r="C1737" s="2" t="s">
        <v>6754</v>
      </c>
      <c r="D1737" s="2" t="s">
        <v>8590</v>
      </c>
      <c r="E1737" s="3">
        <v>41731</v>
      </c>
      <c r="F1737" s="2" t="s">
        <v>8591</v>
      </c>
      <c r="G1737" s="2" t="s">
        <v>8592</v>
      </c>
      <c r="H1737" s="2" t="s">
        <v>2573</v>
      </c>
      <c r="I1737" s="2" t="s">
        <v>2453</v>
      </c>
      <c r="J1737" s="3">
        <v>41791</v>
      </c>
      <c r="K1737" s="2" t="str">
        <f>HYPERLINK("https://docs.wto.org/imrd/directdoc.asp?DDFDocuments/t/G/SPS/NJPN338.DOC")</f>
        <v>https://docs.wto.org/imrd/directdoc.asp?DDFDocuments/t/G/SPS/NJPN338.DOC</v>
      </c>
      <c r="L1737" s="2" t="str">
        <f>HYPERLINK("https://docs.wto.org/imrd/directdoc.asp?DDFDocuments/u/G/SPS/NJPN338.DOC")</f>
        <v>https://docs.wto.org/imrd/directdoc.asp?DDFDocuments/u/G/SPS/NJPN338.DOC</v>
      </c>
      <c r="M1737" s="2" t="str">
        <f>HYPERLINK("https://docs.wto.org/imrd/directdoc.asp?DDFDocuments/v/G/SPS/NJPN338.DOC")</f>
        <v>https://docs.wto.org/imrd/directdoc.asp?DDFDocuments/v/G/SPS/NJPN338.DOC</v>
      </c>
      <c r="N1737" s="2" t="str">
        <f>HYPERLINK("http://www.epingalert.org/#/details/G/SPS/N/JPN/338")</f>
        <v>http://www.epingalert.org/#/details/G/SPS/N/JPN/338</v>
      </c>
      <c r="O1737" s="2"/>
    </row>
    <row r="1738" spans="1:15" ht="240" customHeight="1" outlineLevel="1" x14ac:dyDescent="0.25">
      <c r="A1738" s="2" t="s">
        <v>282</v>
      </c>
      <c r="B1738" s="2" t="s">
        <v>8579</v>
      </c>
      <c r="C1738" s="2"/>
      <c r="D1738" s="2"/>
      <c r="E1738" s="3">
        <v>41731</v>
      </c>
      <c r="F1738" s="2" t="s">
        <v>8580</v>
      </c>
      <c r="G1738" s="2" t="s">
        <v>8581</v>
      </c>
      <c r="H1738" s="2" t="s">
        <v>2648</v>
      </c>
      <c r="I1738" s="2" t="s">
        <v>2491</v>
      </c>
      <c r="J1738" s="2"/>
      <c r="K1738" s="2" t="str">
        <f>HYPERLINK("https://docs.wto.org/imrd/directdoc.asp?DDFDocuments/t/G/SPS/NRUS41A1.DOC")</f>
        <v>https://docs.wto.org/imrd/directdoc.asp?DDFDocuments/t/G/SPS/NRUS41A1.DOC</v>
      </c>
      <c r="L1738" s="2" t="str">
        <f>HYPERLINK("https://docs.wto.org/imrd/directdoc.asp?DDFDocuments/u/G/SPS/NRUS41A1.DOC")</f>
        <v>https://docs.wto.org/imrd/directdoc.asp?DDFDocuments/u/G/SPS/NRUS41A1.DOC</v>
      </c>
      <c r="M1738" s="2" t="str">
        <f>HYPERLINK("https://docs.wto.org/imrd/directdoc.asp?DDFDocuments/v/G/SPS/NRUS41A1.DOC")</f>
        <v>https://docs.wto.org/imrd/directdoc.asp?DDFDocuments/v/G/SPS/NRUS41A1.DOC</v>
      </c>
      <c r="N1738" s="2" t="str">
        <f>HYPERLINK("http://www.epingalert.org/#/details/G/SPS/N/RUS/41/Add.1")</f>
        <v>http://www.epingalert.org/#/details/G/SPS/N/RUS/41/Add.1</v>
      </c>
      <c r="O1738" s="2"/>
    </row>
    <row r="1739" spans="1:15" ht="240" customHeight="1" outlineLevel="1" x14ac:dyDescent="0.25">
      <c r="A1739" s="2" t="s">
        <v>1908</v>
      </c>
      <c r="B1739" s="2" t="s">
        <v>6188</v>
      </c>
      <c r="C1739" s="2" t="s">
        <v>6189</v>
      </c>
      <c r="D1739" s="2" t="s">
        <v>6190</v>
      </c>
      <c r="E1739" s="3">
        <v>41730</v>
      </c>
      <c r="F1739" s="2" t="s">
        <v>5943</v>
      </c>
      <c r="G1739" s="2"/>
      <c r="H1739" s="2" t="s">
        <v>2573</v>
      </c>
      <c r="I1739" s="2" t="s">
        <v>2453</v>
      </c>
      <c r="J1739" s="3">
        <v>41794</v>
      </c>
      <c r="K1739" s="2" t="str">
        <f>HYPERLINK("https://docs.wto.org/imrd/directdoc.asp?DDFDocuments/t/G/SPS/NCAN806.DOC")</f>
        <v>https://docs.wto.org/imrd/directdoc.asp?DDFDocuments/t/G/SPS/NCAN806.DOC</v>
      </c>
      <c r="L1739" s="2" t="str">
        <f>HYPERLINK("https://docs.wto.org/imrd/directdoc.asp?DDFDocuments/u/G/SPS/NCAN806.DOC")</f>
        <v>https://docs.wto.org/imrd/directdoc.asp?DDFDocuments/u/G/SPS/NCAN806.DOC</v>
      </c>
      <c r="M1739" s="2" t="str">
        <f>HYPERLINK("https://docs.wto.org/imrd/directdoc.asp?DDFDocuments/v/G/SPS/NCAN806.DOC")</f>
        <v>https://docs.wto.org/imrd/directdoc.asp?DDFDocuments/v/G/SPS/NCAN806.DOC</v>
      </c>
      <c r="N1739" s="2" t="str">
        <f>HYPERLINK("http://www.epingalert.org/#/details/G/SPS/N/CAN/806")</f>
        <v>http://www.epingalert.org/#/details/G/SPS/N/CAN/806</v>
      </c>
      <c r="O1739" s="2"/>
    </row>
    <row r="1740" spans="1:15" ht="240" customHeight="1" outlineLevel="1" x14ac:dyDescent="0.25">
      <c r="A1740" s="2" t="s">
        <v>12</v>
      </c>
      <c r="B1740" s="2" t="s">
        <v>6184</v>
      </c>
      <c r="C1740" s="2" t="s">
        <v>6185</v>
      </c>
      <c r="D1740" s="2" t="s">
        <v>6186</v>
      </c>
      <c r="E1740" s="3">
        <v>41730</v>
      </c>
      <c r="F1740" s="2" t="s">
        <v>2451</v>
      </c>
      <c r="G1740" s="2" t="s">
        <v>6187</v>
      </c>
      <c r="H1740" s="2" t="s">
        <v>2573</v>
      </c>
      <c r="I1740" s="2" t="s">
        <v>2453</v>
      </c>
      <c r="J1740" s="3">
        <v>41790</v>
      </c>
      <c r="K1740" s="2" t="str">
        <f>HYPERLINK("https://docs.wto.org/imrd/directdoc.asp?DDFDocuments/t/G/SPS/NEU69.DOC")</f>
        <v>https://docs.wto.org/imrd/directdoc.asp?DDFDocuments/t/G/SPS/NEU69.DOC</v>
      </c>
      <c r="L1740" s="2" t="str">
        <f>HYPERLINK("https://docs.wto.org/imrd/directdoc.asp?DDFDocuments/u/G/SPS/NEU69.DOC")</f>
        <v>https://docs.wto.org/imrd/directdoc.asp?DDFDocuments/u/G/SPS/NEU69.DOC</v>
      </c>
      <c r="M1740" s="2" t="str">
        <f>HYPERLINK("https://docs.wto.org/imrd/directdoc.asp?DDFDocuments/v/G/SPS/NEU69.DOC")</f>
        <v>https://docs.wto.org/imrd/directdoc.asp?DDFDocuments/v/G/SPS/NEU69.DOC</v>
      </c>
      <c r="N1740" s="2" t="str">
        <f>HYPERLINK("http://www.epingalert.org/#/details/G/SPS/N/EU/69")</f>
        <v>http://www.epingalert.org/#/details/G/SPS/N/EU/69</v>
      </c>
      <c r="O1740" s="2"/>
    </row>
    <row r="1741" spans="1:15" ht="240" customHeight="1" outlineLevel="1" x14ac:dyDescent="0.25">
      <c r="A1741" s="2" t="s">
        <v>42</v>
      </c>
      <c r="B1741" s="2" t="s">
        <v>6191</v>
      </c>
      <c r="C1741" s="2" t="s">
        <v>6192</v>
      </c>
      <c r="D1741" s="2" t="s">
        <v>6193</v>
      </c>
      <c r="E1741" s="3">
        <v>41730</v>
      </c>
      <c r="F1741" s="2" t="s">
        <v>6194</v>
      </c>
      <c r="G1741" s="2"/>
      <c r="H1741" s="2" t="s">
        <v>2573</v>
      </c>
      <c r="I1741" s="2" t="s">
        <v>2453</v>
      </c>
      <c r="J1741" s="3">
        <v>41755</v>
      </c>
      <c r="K1741" s="2" t="str">
        <f>HYPERLINK("https://docs.wto.org/imrd/directdoc.asp?DDFDocuments/t/G/SPS/NBRA928.DOC")</f>
        <v>https://docs.wto.org/imrd/directdoc.asp?DDFDocuments/t/G/SPS/NBRA928.DOC</v>
      </c>
      <c r="L1741" s="2" t="str">
        <f>HYPERLINK("https://docs.wto.org/imrd/directdoc.asp?DDFDocuments/u/G/SPS/NBRA928.DOC")</f>
        <v>https://docs.wto.org/imrd/directdoc.asp?DDFDocuments/u/G/SPS/NBRA928.DOC</v>
      </c>
      <c r="M1741" s="2" t="str">
        <f>HYPERLINK("https://docs.wto.org/imrd/directdoc.asp?DDFDocuments/v/G/SPS/NBRA928.DOC")</f>
        <v>https://docs.wto.org/imrd/directdoc.asp?DDFDocuments/v/G/SPS/NBRA928.DOC</v>
      </c>
      <c r="N1741" s="2" t="str">
        <f>HYPERLINK("http://www.epingalert.org/#/details/G/SPS/N/BRA/928")</f>
        <v>http://www.epingalert.org/#/details/G/SPS/N/BRA/928</v>
      </c>
      <c r="O1741" s="2"/>
    </row>
    <row r="1742" spans="1:15" ht="240" customHeight="1" outlineLevel="1" x14ac:dyDescent="0.25">
      <c r="A1742" s="2" t="s">
        <v>12</v>
      </c>
      <c r="B1742" s="2" t="s">
        <v>6181</v>
      </c>
      <c r="C1742" s="2"/>
      <c r="D1742" s="2"/>
      <c r="E1742" s="3">
        <v>41730</v>
      </c>
      <c r="F1742" s="2" t="s">
        <v>6182</v>
      </c>
      <c r="G1742" s="2" t="s">
        <v>6183</v>
      </c>
      <c r="H1742" s="2" t="s">
        <v>2573</v>
      </c>
      <c r="I1742" s="2" t="s">
        <v>2444</v>
      </c>
      <c r="J1742" s="2"/>
      <c r="K1742" s="2" t="str">
        <f>HYPERLINK("https://docs.wto.org/imrd/directdoc.asp?DDFDocuments/t/G/SPS/NEU57A1.DOC")</f>
        <v>https://docs.wto.org/imrd/directdoc.asp?DDFDocuments/t/G/SPS/NEU57A1.DOC</v>
      </c>
      <c r="L1742" s="2" t="str">
        <f>HYPERLINK("https://docs.wto.org/imrd/directdoc.asp?DDFDocuments/u/G/SPS/NEU57A1.DOC")</f>
        <v>https://docs.wto.org/imrd/directdoc.asp?DDFDocuments/u/G/SPS/NEU57A1.DOC</v>
      </c>
      <c r="M1742" s="2" t="str">
        <f>HYPERLINK("https://docs.wto.org/imrd/directdoc.asp?DDFDocuments/v/G/SPS/NEU57A1.DOC")</f>
        <v>https://docs.wto.org/imrd/directdoc.asp?DDFDocuments/v/G/SPS/NEU57A1.DOC</v>
      </c>
      <c r="N1742" s="2" t="str">
        <f>HYPERLINK("http://www.epingalert.org/#/details/G/SPS/N/EU/57/Add.1")</f>
        <v>http://www.epingalert.org/#/details/G/SPS/N/EU/57/Add.1</v>
      </c>
      <c r="O1742" s="2"/>
    </row>
    <row r="1743" spans="1:15" ht="240" customHeight="1" outlineLevel="1" x14ac:dyDescent="0.25">
      <c r="A1743" s="2" t="s">
        <v>18</v>
      </c>
      <c r="B1743" s="2" t="s">
        <v>6195</v>
      </c>
      <c r="C1743" s="2" t="s">
        <v>6196</v>
      </c>
      <c r="D1743" s="2" t="s">
        <v>6197</v>
      </c>
      <c r="E1743" s="3">
        <v>41729</v>
      </c>
      <c r="F1743" s="2" t="s">
        <v>6018</v>
      </c>
      <c r="G1743" s="2" t="s">
        <v>6198</v>
      </c>
      <c r="H1743" s="2" t="s">
        <v>2573</v>
      </c>
      <c r="I1743" s="2" t="s">
        <v>6199</v>
      </c>
      <c r="J1743" s="3">
        <v>41799</v>
      </c>
      <c r="K1743" s="2" t="str">
        <f>HYPERLINK("https://docs.wto.org/imrd/directdoc.asp?DDFDocuments/t/G/SPS/NUSA2645.DOC")</f>
        <v>https://docs.wto.org/imrd/directdoc.asp?DDFDocuments/t/G/SPS/NUSA2645.DOC</v>
      </c>
      <c r="L1743" s="2" t="str">
        <f>HYPERLINK("https://docs.wto.org/imrd/directdoc.asp?DDFDocuments/u/G/SPS/NUSA2645.DOC")</f>
        <v>https://docs.wto.org/imrd/directdoc.asp?DDFDocuments/u/G/SPS/NUSA2645.DOC</v>
      </c>
      <c r="M1743" s="2" t="str">
        <f>HYPERLINK("https://docs.wto.org/imrd/directdoc.asp?DDFDocuments/v/G/SPS/NUSA2645.DOC")</f>
        <v>https://docs.wto.org/imrd/directdoc.asp?DDFDocuments/v/G/SPS/NUSA2645.DOC</v>
      </c>
      <c r="N1743" s="2" t="str">
        <f>HYPERLINK("http://www.epingalert.org/#/details/G/SPS/N/USA/2645")</f>
        <v>http://www.epingalert.org/#/details/G/SPS/N/USA/2645</v>
      </c>
      <c r="O1743" s="2"/>
    </row>
    <row r="1744" spans="1:15" ht="240" customHeight="1" outlineLevel="1" x14ac:dyDescent="0.25">
      <c r="A1744" s="2" t="s">
        <v>1908</v>
      </c>
      <c r="B1744" s="2" t="s">
        <v>8593</v>
      </c>
      <c r="C1744" s="2" t="s">
        <v>8594</v>
      </c>
      <c r="D1744" s="2" t="s">
        <v>8595</v>
      </c>
      <c r="E1744" s="3">
        <v>41729</v>
      </c>
      <c r="F1744" s="2" t="s">
        <v>8223</v>
      </c>
      <c r="G1744" s="2" t="s">
        <v>7267</v>
      </c>
      <c r="H1744" s="2" t="s">
        <v>2573</v>
      </c>
      <c r="I1744" s="2" t="s">
        <v>8596</v>
      </c>
      <c r="J1744" s="3">
        <v>41789</v>
      </c>
      <c r="K1744" s="2" t="str">
        <f>HYPERLINK("https://docs.wto.org/imrd/directdoc.asp?DDFDocuments/t/G/SPS/NCAN805.DOC")</f>
        <v>https://docs.wto.org/imrd/directdoc.asp?DDFDocuments/t/G/SPS/NCAN805.DOC</v>
      </c>
      <c r="L1744" s="2" t="str">
        <f>HYPERLINK("https://docs.wto.org/imrd/directdoc.asp?DDFDocuments/u/G/SPS/NCAN805.DOC")</f>
        <v>https://docs.wto.org/imrd/directdoc.asp?DDFDocuments/u/G/SPS/NCAN805.DOC</v>
      </c>
      <c r="M1744" s="2" t="str">
        <f>HYPERLINK("https://docs.wto.org/imrd/directdoc.asp?DDFDocuments/v/G/SPS/NCAN805.DOC")</f>
        <v>https://docs.wto.org/imrd/directdoc.asp?DDFDocuments/v/G/SPS/NCAN805.DOC</v>
      </c>
      <c r="N1744" s="2" t="str">
        <f>HYPERLINK("http://www.epingalert.org/#/details/G/SPS/N/CAN/805")</f>
        <v>http://www.epingalert.org/#/details/G/SPS/N/CAN/805</v>
      </c>
      <c r="O1744" s="2"/>
    </row>
    <row r="1745" spans="1:15" ht="240" customHeight="1" outlineLevel="1" x14ac:dyDescent="0.25">
      <c r="A1745" s="2" t="s">
        <v>18</v>
      </c>
      <c r="B1745" s="2" t="s">
        <v>6688</v>
      </c>
      <c r="C1745" s="2"/>
      <c r="D1745" s="2"/>
      <c r="E1745" s="3">
        <v>41725</v>
      </c>
      <c r="F1745" s="2" t="s">
        <v>6689</v>
      </c>
      <c r="G1745" s="2" t="s">
        <v>6690</v>
      </c>
      <c r="H1745" s="2" t="s">
        <v>2573</v>
      </c>
      <c r="I1745" s="2" t="s">
        <v>2672</v>
      </c>
      <c r="J1745" s="3">
        <v>41820</v>
      </c>
      <c r="K1745" s="2" t="str">
        <f>HYPERLINK("https://docs.wto.org/imrd/directdoc.asp?DDFDocuments/t/G/SPS/NUSA2611A1.DOC")</f>
        <v>https://docs.wto.org/imrd/directdoc.asp?DDFDocuments/t/G/SPS/NUSA2611A1.DOC</v>
      </c>
      <c r="L1745" s="2" t="str">
        <f>HYPERLINK("https://docs.wto.org/imrd/directdoc.asp?DDFDocuments/u/G/SPS/NUSA2611A1.DOC")</f>
        <v>https://docs.wto.org/imrd/directdoc.asp?DDFDocuments/u/G/SPS/NUSA2611A1.DOC</v>
      </c>
      <c r="M1745" s="2" t="str">
        <f>HYPERLINK("https://docs.wto.org/imrd/directdoc.asp?DDFDocuments/v/G/SPS/NUSA2611A1.DOC")</f>
        <v>https://docs.wto.org/imrd/directdoc.asp?DDFDocuments/v/G/SPS/NUSA2611A1.DOC</v>
      </c>
      <c r="N1745" s="2" t="str">
        <f>HYPERLINK("http://www.epingalert.org/#/details/G/SPS/N/USA/2611/Add.1")</f>
        <v>http://www.epingalert.org/#/details/G/SPS/N/USA/2611/Add.1</v>
      </c>
      <c r="O1745" s="2"/>
    </row>
    <row r="1746" spans="1:15" ht="240" customHeight="1" outlineLevel="1" x14ac:dyDescent="0.25">
      <c r="A1746" s="2" t="s">
        <v>18</v>
      </c>
      <c r="B1746" s="2" t="s">
        <v>6691</v>
      </c>
      <c r="C1746" s="2"/>
      <c r="D1746" s="2"/>
      <c r="E1746" s="3">
        <v>41725</v>
      </c>
      <c r="F1746" s="2" t="s">
        <v>6601</v>
      </c>
      <c r="G1746" s="2" t="s">
        <v>6692</v>
      </c>
      <c r="H1746" s="2" t="s">
        <v>2573</v>
      </c>
      <c r="I1746" s="2" t="s">
        <v>2672</v>
      </c>
      <c r="J1746" s="3">
        <v>41820</v>
      </c>
      <c r="K1746" s="2" t="str">
        <f>HYPERLINK("https://docs.wto.org/imrd/directdoc.asp?DDFDocuments/t/G/SPS/NUSA2610A1.DOC")</f>
        <v>https://docs.wto.org/imrd/directdoc.asp?DDFDocuments/t/G/SPS/NUSA2610A1.DOC</v>
      </c>
      <c r="L1746" s="2" t="str">
        <f>HYPERLINK("https://docs.wto.org/imrd/directdoc.asp?DDFDocuments/u/G/SPS/NUSA2610A1.DOC")</f>
        <v>https://docs.wto.org/imrd/directdoc.asp?DDFDocuments/u/G/SPS/NUSA2610A1.DOC</v>
      </c>
      <c r="M1746" s="2" t="str">
        <f>HYPERLINK("https://docs.wto.org/imrd/directdoc.asp?DDFDocuments/v/G/SPS/NUSA2610A1.DOC")</f>
        <v>https://docs.wto.org/imrd/directdoc.asp?DDFDocuments/v/G/SPS/NUSA2610A1.DOC</v>
      </c>
      <c r="N1746" s="2" t="str">
        <f>HYPERLINK("http://www.epingalert.org/#/details/G/SPS/N/USA/2610/Add.1")</f>
        <v>http://www.epingalert.org/#/details/G/SPS/N/USA/2610/Add.1</v>
      </c>
      <c r="O1746" s="2"/>
    </row>
    <row r="1747" spans="1:15" ht="240" customHeight="1" outlineLevel="1" x14ac:dyDescent="0.25">
      <c r="A1747" s="2" t="s">
        <v>6200</v>
      </c>
      <c r="B1747" s="2" t="s">
        <v>6201</v>
      </c>
      <c r="C1747" s="2" t="s">
        <v>6202</v>
      </c>
      <c r="D1747" s="2" t="s">
        <v>6203</v>
      </c>
      <c r="E1747" s="3">
        <v>41725</v>
      </c>
      <c r="F1747" s="2" t="s">
        <v>6204</v>
      </c>
      <c r="G1747" s="2" t="s">
        <v>499</v>
      </c>
      <c r="H1747" s="2" t="s">
        <v>2648</v>
      </c>
      <c r="I1747" s="2" t="s">
        <v>6205</v>
      </c>
      <c r="J1747" s="2"/>
      <c r="K1747" s="2" t="str">
        <f>HYPERLINK("https://docs.wto.org/imrd/directdoc.asp?DDFDocuments/t/G/SPS/NURY19.DOC")</f>
        <v>https://docs.wto.org/imrd/directdoc.asp?DDFDocuments/t/G/SPS/NURY19.DOC</v>
      </c>
      <c r="L1747" s="2" t="str">
        <f>HYPERLINK("https://docs.wto.org/imrd/directdoc.asp?DDFDocuments/u/G/SPS/NURY19.DOC")</f>
        <v>https://docs.wto.org/imrd/directdoc.asp?DDFDocuments/u/G/SPS/NURY19.DOC</v>
      </c>
      <c r="M1747" s="2" t="str">
        <f>HYPERLINK("https://docs.wto.org/imrd/directdoc.asp?DDFDocuments/v/G/SPS/NURY19.DOC")</f>
        <v>https://docs.wto.org/imrd/directdoc.asp?DDFDocuments/v/G/SPS/NURY19.DOC</v>
      </c>
      <c r="N1747" s="2" t="str">
        <f>HYPERLINK("http://www.epingalert.org/#/details/G/SPS/N/URY/19")</f>
        <v>http://www.epingalert.org/#/details/G/SPS/N/URY/19</v>
      </c>
      <c r="O1747" s="2"/>
    </row>
    <row r="1748" spans="1:15" ht="240" customHeight="1" outlineLevel="1" x14ac:dyDescent="0.25">
      <c r="A1748" s="2" t="s">
        <v>18</v>
      </c>
      <c r="B1748" s="2" t="s">
        <v>6206</v>
      </c>
      <c r="C1748" s="2" t="s">
        <v>6207</v>
      </c>
      <c r="D1748" s="2" t="s">
        <v>6208</v>
      </c>
      <c r="E1748" s="3">
        <v>41725</v>
      </c>
      <c r="F1748" s="2" t="s">
        <v>6209</v>
      </c>
      <c r="G1748" s="2" t="s">
        <v>4208</v>
      </c>
      <c r="H1748" s="2" t="s">
        <v>2648</v>
      </c>
      <c r="I1748" s="2" t="s">
        <v>6210</v>
      </c>
      <c r="J1748" s="2"/>
      <c r="K1748" s="2" t="str">
        <f>HYPERLINK("https://docs.wto.org/imrd/directdoc.asp?DDFDocuments/t/G/SPS/NUSA2644.DOC")</f>
        <v>https://docs.wto.org/imrd/directdoc.asp?DDFDocuments/t/G/SPS/NUSA2644.DOC</v>
      </c>
      <c r="L1748" s="2" t="str">
        <f>HYPERLINK("https://docs.wto.org/imrd/directdoc.asp?DDFDocuments/u/G/SPS/NUSA2644.DOC")</f>
        <v>https://docs.wto.org/imrd/directdoc.asp?DDFDocuments/u/G/SPS/NUSA2644.DOC</v>
      </c>
      <c r="M1748" s="2" t="str">
        <f>HYPERLINK("https://docs.wto.org/imrd/directdoc.asp?DDFDocuments/v/G/SPS/NUSA2644.DOC")</f>
        <v>https://docs.wto.org/imrd/directdoc.asp?DDFDocuments/v/G/SPS/NUSA2644.DOC</v>
      </c>
      <c r="N1748" s="2" t="str">
        <f>HYPERLINK("http://www.epingalert.org/#/details/G/SPS/N/USA/2644")</f>
        <v>http://www.epingalert.org/#/details/G/SPS/N/USA/2644</v>
      </c>
      <c r="O1748" s="2"/>
    </row>
    <row r="1749" spans="1:15" ht="240" customHeight="1" outlineLevel="1" x14ac:dyDescent="0.25">
      <c r="A1749" s="2" t="s">
        <v>77</v>
      </c>
      <c r="B1749" s="2" t="s">
        <v>6211</v>
      </c>
      <c r="C1749" s="2" t="s">
        <v>5302</v>
      </c>
      <c r="D1749" s="2" t="s">
        <v>6212</v>
      </c>
      <c r="E1749" s="3">
        <v>41724</v>
      </c>
      <c r="F1749" s="2" t="s">
        <v>221</v>
      </c>
      <c r="G1749" s="2"/>
      <c r="H1749" s="2" t="s">
        <v>2573</v>
      </c>
      <c r="I1749" s="2" t="s">
        <v>6213</v>
      </c>
      <c r="J1749" s="2"/>
      <c r="K1749" s="2" t="str">
        <f>HYPERLINK("https://docs.wto.org/imrd/directdoc.asp?DDFDocuments/t/G/SPS/NTPKM308.DOC")</f>
        <v>https://docs.wto.org/imrd/directdoc.asp?DDFDocuments/t/G/SPS/NTPKM308.DOC</v>
      </c>
      <c r="L1749" s="2" t="str">
        <f>HYPERLINK("https://docs.wto.org/imrd/directdoc.asp?DDFDocuments/u/G/SPS/NTPKM308.DOC")</f>
        <v>https://docs.wto.org/imrd/directdoc.asp?DDFDocuments/u/G/SPS/NTPKM308.DOC</v>
      </c>
      <c r="M1749" s="2" t="str">
        <f>HYPERLINK("https://docs.wto.org/imrd/directdoc.asp?DDFDocuments/v/G/SPS/NTPKM308.DOC")</f>
        <v>https://docs.wto.org/imrd/directdoc.asp?DDFDocuments/v/G/SPS/NTPKM308.DOC</v>
      </c>
      <c r="N1749" s="2" t="str">
        <f>HYPERLINK("http://www.epingalert.org/#/details/G/SPS/N/TPKM/308")</f>
        <v>http://www.epingalert.org/#/details/G/SPS/N/TPKM/308</v>
      </c>
      <c r="O1749" s="2"/>
    </row>
    <row r="1750" spans="1:15" ht="240" customHeight="1" outlineLevel="1" x14ac:dyDescent="0.25">
      <c r="A1750" s="2" t="s">
        <v>1488</v>
      </c>
      <c r="B1750" s="2" t="s">
        <v>8597</v>
      </c>
      <c r="C1750" s="2"/>
      <c r="D1750" s="2"/>
      <c r="E1750" s="3">
        <v>41724</v>
      </c>
      <c r="F1750" s="2" t="s">
        <v>8598</v>
      </c>
      <c r="G1750" s="2" t="s">
        <v>2923</v>
      </c>
      <c r="H1750" s="2" t="s">
        <v>2573</v>
      </c>
      <c r="I1750" s="2" t="s">
        <v>2444</v>
      </c>
      <c r="J1750" s="2"/>
      <c r="K1750" s="2" t="str">
        <f>HYPERLINK("https://docs.wto.org/imrd/directdoc.asp?DDFDocuments/t/G/SPS/NMEX247A1.DOC")</f>
        <v>https://docs.wto.org/imrd/directdoc.asp?DDFDocuments/t/G/SPS/NMEX247A1.DOC</v>
      </c>
      <c r="L1750" s="2" t="str">
        <f>HYPERLINK("https://docs.wto.org/imrd/directdoc.asp?DDFDocuments/u/G/SPS/NMEX247A1.DOC")</f>
        <v>https://docs.wto.org/imrd/directdoc.asp?DDFDocuments/u/G/SPS/NMEX247A1.DOC</v>
      </c>
      <c r="M1750" s="2" t="str">
        <f>HYPERLINK("https://docs.wto.org/imrd/directdoc.asp?DDFDocuments/v/G/SPS/NMEX247A1.DOC")</f>
        <v>https://docs.wto.org/imrd/directdoc.asp?DDFDocuments/v/G/SPS/NMEX247A1.DOC</v>
      </c>
      <c r="N1750" s="2" t="str">
        <f>HYPERLINK("http://www.epingalert.org/#/details/G/SPS/N/MEX/247/Add.1")</f>
        <v>http://www.epingalert.org/#/details/G/SPS/N/MEX/247/Add.1</v>
      </c>
      <c r="O1750" s="2"/>
    </row>
    <row r="1751" spans="1:15" ht="240" customHeight="1" outlineLevel="1" x14ac:dyDescent="0.25">
      <c r="A1751" s="2" t="s">
        <v>211</v>
      </c>
      <c r="B1751" s="2" t="s">
        <v>6216</v>
      </c>
      <c r="C1751" s="2" t="s">
        <v>6217</v>
      </c>
      <c r="D1751" s="2" t="s">
        <v>6218</v>
      </c>
      <c r="E1751" s="3">
        <v>41722</v>
      </c>
      <c r="F1751" s="2" t="s">
        <v>5713</v>
      </c>
      <c r="G1751" s="2"/>
      <c r="H1751" s="2" t="s">
        <v>2467</v>
      </c>
      <c r="I1751" s="2" t="s">
        <v>3151</v>
      </c>
      <c r="J1751" s="3">
        <v>41782</v>
      </c>
      <c r="K1751" s="2" t="str">
        <f>HYPERLINK("https://docs.wto.org/imrd/directdoc.asp?DDFDocuments/t/G/SPS/NNZL502.DOC")</f>
        <v>https://docs.wto.org/imrd/directdoc.asp?DDFDocuments/t/G/SPS/NNZL502.DOC</v>
      </c>
      <c r="L1751" s="2" t="str">
        <f>HYPERLINK("https://docs.wto.org/imrd/directdoc.asp?DDFDocuments/u/G/SPS/NNZL502.DOC")</f>
        <v>https://docs.wto.org/imrd/directdoc.asp?DDFDocuments/u/G/SPS/NNZL502.DOC</v>
      </c>
      <c r="M1751" s="2" t="str">
        <f>HYPERLINK("https://docs.wto.org/imrd/directdoc.asp?DDFDocuments/v/G/SPS/NNZL502.DOC")</f>
        <v>https://docs.wto.org/imrd/directdoc.asp?DDFDocuments/v/G/SPS/NNZL502.DOC</v>
      </c>
      <c r="N1751" s="2" t="str">
        <f>HYPERLINK("http://www.epingalert.org/#/details/G/SPS/N/NZL/502")</f>
        <v>http://www.epingalert.org/#/details/G/SPS/N/NZL/502</v>
      </c>
      <c r="O1751" s="2"/>
    </row>
    <row r="1752" spans="1:15" ht="240" customHeight="1" outlineLevel="1" x14ac:dyDescent="0.25">
      <c r="A1752" s="2" t="s">
        <v>2930</v>
      </c>
      <c r="B1752" s="2" t="s">
        <v>6214</v>
      </c>
      <c r="C1752" s="2"/>
      <c r="D1752" s="2"/>
      <c r="E1752" s="3">
        <v>41722</v>
      </c>
      <c r="F1752" s="2" t="s">
        <v>6215</v>
      </c>
      <c r="G1752" s="2"/>
      <c r="H1752" s="2" t="s">
        <v>2573</v>
      </c>
      <c r="I1752" s="2" t="s">
        <v>2491</v>
      </c>
      <c r="J1752" s="2"/>
      <c r="K1752" s="2" t="str">
        <f>HYPERLINK("https://docs.wto.org/imrd/directdoc.asp?DDFDocuments/t/G/SPS/NLKA28A2.DOC")</f>
        <v>https://docs.wto.org/imrd/directdoc.asp?DDFDocuments/t/G/SPS/NLKA28A2.DOC</v>
      </c>
      <c r="L1752" s="2" t="str">
        <f>HYPERLINK("https://docs.wto.org/imrd/directdoc.asp?DDFDocuments/u/G/SPS/NLKA28A2.DOC")</f>
        <v>https://docs.wto.org/imrd/directdoc.asp?DDFDocuments/u/G/SPS/NLKA28A2.DOC</v>
      </c>
      <c r="M1752" s="2" t="str">
        <f>HYPERLINK("https://docs.wto.org/imrd/directdoc.asp?DDFDocuments/v/G/SPS/NLKA28A2.DOC")</f>
        <v>https://docs.wto.org/imrd/directdoc.asp?DDFDocuments/v/G/SPS/NLKA28A2.DOC</v>
      </c>
      <c r="N1752" s="2" t="str">
        <f>HYPERLINK("http://www.epingalert.org/#/details/G/SPS/N/LKA/28/Add.2")</f>
        <v>http://www.epingalert.org/#/details/G/SPS/N/LKA/28/Add.2</v>
      </c>
      <c r="O1752" s="2"/>
    </row>
    <row r="1753" spans="1:15" ht="240" customHeight="1" outlineLevel="1" x14ac:dyDescent="0.25">
      <c r="A1753" s="2" t="s">
        <v>25</v>
      </c>
      <c r="B1753" s="2" t="s">
        <v>8599</v>
      </c>
      <c r="C1753" s="2" t="s">
        <v>8600</v>
      </c>
      <c r="D1753" s="2" t="s">
        <v>8601</v>
      </c>
      <c r="E1753" s="3">
        <v>41719</v>
      </c>
      <c r="F1753" s="2" t="s">
        <v>8602</v>
      </c>
      <c r="G1753" s="2" t="s">
        <v>8033</v>
      </c>
      <c r="H1753" s="2" t="s">
        <v>6741</v>
      </c>
      <c r="I1753" s="2"/>
      <c r="J1753" s="2"/>
      <c r="K1753" s="2" t="str">
        <f>HYPERLINK("https://docs.wto.org/imrd/directdoc.asp?DDFDocuments/t/G/SPS/NKOR472.DOC")</f>
        <v>https://docs.wto.org/imrd/directdoc.asp?DDFDocuments/t/G/SPS/NKOR472.DOC</v>
      </c>
      <c r="L1753" s="2" t="str">
        <f>HYPERLINK("https://docs.wto.org/imrd/directdoc.asp?DDFDocuments/u/G/SPS/NKOR472.DOC")</f>
        <v>https://docs.wto.org/imrd/directdoc.asp?DDFDocuments/u/G/SPS/NKOR472.DOC</v>
      </c>
      <c r="M1753" s="2" t="str">
        <f>HYPERLINK("https://docs.wto.org/imrd/directdoc.asp?DDFDocuments/v/G/SPS/NKOR472.DOC")</f>
        <v>https://docs.wto.org/imrd/directdoc.asp?DDFDocuments/v/G/SPS/NKOR472.DOC</v>
      </c>
      <c r="N1753" s="2" t="str">
        <f>HYPERLINK("http://www.epingalert.org/#/details/G/SPS/N/KOR/472")</f>
        <v>http://www.epingalert.org/#/details/G/SPS/N/KOR/472</v>
      </c>
      <c r="O1753" s="2"/>
    </row>
    <row r="1754" spans="1:15" ht="240" customHeight="1" outlineLevel="1" x14ac:dyDescent="0.25">
      <c r="A1754" s="2" t="s">
        <v>1042</v>
      </c>
      <c r="B1754" s="2" t="s">
        <v>8603</v>
      </c>
      <c r="C1754" s="2"/>
      <c r="D1754" s="2"/>
      <c r="E1754" s="3">
        <v>41718</v>
      </c>
      <c r="F1754" s="2" t="s">
        <v>8074</v>
      </c>
      <c r="G1754" s="2" t="s">
        <v>8604</v>
      </c>
      <c r="H1754" s="2" t="s">
        <v>2467</v>
      </c>
      <c r="I1754" s="2" t="s">
        <v>7034</v>
      </c>
      <c r="J1754" s="2"/>
      <c r="K1754" s="2" t="str">
        <f>HYPERLINK("https://docs.wto.org/imrd/directdoc.asp?DDFDocuments/t/G/SPS/NPHL243A1.DOC")</f>
        <v>https://docs.wto.org/imrd/directdoc.asp?DDFDocuments/t/G/SPS/NPHL243A1.DOC</v>
      </c>
      <c r="L1754" s="2" t="str">
        <f>HYPERLINK("https://docs.wto.org/imrd/directdoc.asp?DDFDocuments/u/G/SPS/NPHL243A1.DOC")</f>
        <v>https://docs.wto.org/imrd/directdoc.asp?DDFDocuments/u/G/SPS/NPHL243A1.DOC</v>
      </c>
      <c r="M1754" s="2" t="str">
        <f>HYPERLINK("https://docs.wto.org/imrd/directdoc.asp?DDFDocuments/v/G/SPS/NPHL243A1.DOC")</f>
        <v>https://docs.wto.org/imrd/directdoc.asp?DDFDocuments/v/G/SPS/NPHL243A1.DOC</v>
      </c>
      <c r="N1754" s="2" t="str">
        <f>HYPERLINK("http://www.epingalert.org/#/details/G/SPS/N/PHL/243/Add.1")</f>
        <v>http://www.epingalert.org/#/details/G/SPS/N/PHL/243/Add.1</v>
      </c>
      <c r="O1754" s="2"/>
    </row>
    <row r="1755" spans="1:15" ht="240" customHeight="1" outlineLevel="1" x14ac:dyDescent="0.25">
      <c r="A1755" s="2" t="s">
        <v>178</v>
      </c>
      <c r="B1755" s="2" t="s">
        <v>8609</v>
      </c>
      <c r="C1755" s="2" t="s">
        <v>8470</v>
      </c>
      <c r="D1755" s="2" t="s">
        <v>8610</v>
      </c>
      <c r="E1755" s="3">
        <v>41717</v>
      </c>
      <c r="F1755" s="2" t="s">
        <v>8472</v>
      </c>
      <c r="G1755" s="2" t="s">
        <v>1972</v>
      </c>
      <c r="H1755" s="2" t="s">
        <v>2573</v>
      </c>
      <c r="I1755" s="2" t="s">
        <v>2566</v>
      </c>
      <c r="J1755" s="3">
        <v>41777</v>
      </c>
      <c r="K1755" s="2" t="str">
        <f>HYPERLINK("https://docs.wto.org/imrd/directdoc.asp?DDFDocuments/t/G/SPS/NQAT47.DOC")</f>
        <v>https://docs.wto.org/imrd/directdoc.asp?DDFDocuments/t/G/SPS/NQAT47.DOC</v>
      </c>
      <c r="L1755" s="2" t="str">
        <f>HYPERLINK("https://docs.wto.org/imrd/directdoc.asp?DDFDocuments/u/G/SPS/NQAT47.DOC")</f>
        <v>https://docs.wto.org/imrd/directdoc.asp?DDFDocuments/u/G/SPS/NQAT47.DOC</v>
      </c>
      <c r="M1755" s="2" t="str">
        <f>HYPERLINK("https://docs.wto.org/imrd/directdoc.asp?DDFDocuments/v/G/SPS/NQAT47.DOC")</f>
        <v>https://docs.wto.org/imrd/directdoc.asp?DDFDocuments/v/G/SPS/NQAT47.DOC</v>
      </c>
      <c r="N1755" s="2" t="str">
        <f>HYPERLINK("http://www.epingalert.org/#/details/G/SPS/N/QAT/47")</f>
        <v>http://www.epingalert.org/#/details/G/SPS/N/QAT/47</v>
      </c>
      <c r="O1755" s="2"/>
    </row>
    <row r="1756" spans="1:15" ht="240" customHeight="1" outlineLevel="1" x14ac:dyDescent="0.25">
      <c r="A1756" s="2" t="s">
        <v>282</v>
      </c>
      <c r="B1756" s="2" t="s">
        <v>8605</v>
      </c>
      <c r="C1756" s="2"/>
      <c r="D1756" s="2"/>
      <c r="E1756" s="3">
        <v>41717</v>
      </c>
      <c r="F1756" s="2" t="s">
        <v>8606</v>
      </c>
      <c r="G1756" s="2" t="s">
        <v>8607</v>
      </c>
      <c r="H1756" s="2"/>
      <c r="I1756" s="2" t="s">
        <v>8608</v>
      </c>
      <c r="J1756" s="2"/>
      <c r="K1756" s="2" t="str">
        <f>HYPERLINK("https://docs.wto.org/imrd/directdoc.asp?DDFDocuments/t/G/SPS/NRUS34A1.DOC")</f>
        <v>https://docs.wto.org/imrd/directdoc.asp?DDFDocuments/t/G/SPS/NRUS34A1.DOC</v>
      </c>
      <c r="L1756" s="2" t="str">
        <f>HYPERLINK("https://docs.wto.org/imrd/directdoc.asp?DDFDocuments/u/G/SPS/NRUS34A1.DOC")</f>
        <v>https://docs.wto.org/imrd/directdoc.asp?DDFDocuments/u/G/SPS/NRUS34A1.DOC</v>
      </c>
      <c r="M1756" s="2" t="str">
        <f>HYPERLINK("https://docs.wto.org/imrd/directdoc.asp?DDFDocuments/v/G/SPS/NRUS34A1.DOC")</f>
        <v>https://docs.wto.org/imrd/directdoc.asp?DDFDocuments/v/G/SPS/NRUS34A1.DOC</v>
      </c>
      <c r="N1756" s="2" t="str">
        <f>HYPERLINK("http://www.epingalert.org/#/details/G/SPS/N/RUS/34/Add.1")</f>
        <v>http://www.epingalert.org/#/details/G/SPS/N/RUS/34/Add.1</v>
      </c>
      <c r="O1756" s="2"/>
    </row>
    <row r="1757" spans="1:15" ht="240" customHeight="1" outlineLevel="1" x14ac:dyDescent="0.25">
      <c r="A1757" s="2" t="s">
        <v>121</v>
      </c>
      <c r="B1757" s="2" t="s">
        <v>6221</v>
      </c>
      <c r="C1757" s="2" t="s">
        <v>6222</v>
      </c>
      <c r="D1757" s="2" t="s">
        <v>6223</v>
      </c>
      <c r="E1757" s="3">
        <v>41716</v>
      </c>
      <c r="F1757" s="2" t="s">
        <v>6224</v>
      </c>
      <c r="G1757" s="2"/>
      <c r="H1757" s="2" t="s">
        <v>2573</v>
      </c>
      <c r="I1757" s="2" t="s">
        <v>2426</v>
      </c>
      <c r="J1757" s="3">
        <v>41776</v>
      </c>
      <c r="K1757" s="2" t="str">
        <f>HYPERLINK("https://docs.wto.org/imrd/directdoc.asp?DDFDocuments/t/G/SPS/NIND84.DOC")</f>
        <v>https://docs.wto.org/imrd/directdoc.asp?DDFDocuments/t/G/SPS/NIND84.DOC</v>
      </c>
      <c r="L1757" s="2" t="str">
        <f>HYPERLINK("https://docs.wto.org/imrd/directdoc.asp?DDFDocuments/u/G/SPS/NIND84.DOC")</f>
        <v>https://docs.wto.org/imrd/directdoc.asp?DDFDocuments/u/G/SPS/NIND84.DOC</v>
      </c>
      <c r="M1757" s="2" t="str">
        <f>HYPERLINK("https://docs.wto.org/imrd/directdoc.asp?DDFDocuments/v/G/SPS/NIND84.DOC")</f>
        <v>https://docs.wto.org/imrd/directdoc.asp?DDFDocuments/v/G/SPS/NIND84.DOC</v>
      </c>
      <c r="N1757" s="2" t="str">
        <f>HYPERLINK("http://www.epingalert.org/#/details/G/SPS/N/IND/84")</f>
        <v>http://www.epingalert.org/#/details/G/SPS/N/IND/84</v>
      </c>
      <c r="O1757" s="2"/>
    </row>
    <row r="1758" spans="1:15" ht="240" customHeight="1" outlineLevel="1" x14ac:dyDescent="0.25">
      <c r="A1758" s="2" t="s">
        <v>25</v>
      </c>
      <c r="B1758" s="2" t="s">
        <v>6219</v>
      </c>
      <c r="C1758" s="2" t="s">
        <v>2528</v>
      </c>
      <c r="D1758" s="2" t="s">
        <v>6220</v>
      </c>
      <c r="E1758" s="3">
        <v>41716</v>
      </c>
      <c r="F1758" s="2" t="s">
        <v>299</v>
      </c>
      <c r="G1758" s="2"/>
      <c r="H1758" s="2" t="s">
        <v>2573</v>
      </c>
      <c r="I1758" s="2" t="s">
        <v>2431</v>
      </c>
      <c r="J1758" s="3">
        <v>41776</v>
      </c>
      <c r="K1758" s="2" t="str">
        <f>HYPERLINK("https://docs.wto.org/imrd/directdoc.asp?DDFDocuments/t/G/SPS/NKOR471.DOC")</f>
        <v>https://docs.wto.org/imrd/directdoc.asp?DDFDocuments/t/G/SPS/NKOR471.DOC</v>
      </c>
      <c r="L1758" s="2" t="str">
        <f>HYPERLINK("https://docs.wto.org/imrd/directdoc.asp?DDFDocuments/u/G/SPS/NKOR471.DOC")</f>
        <v>https://docs.wto.org/imrd/directdoc.asp?DDFDocuments/u/G/SPS/NKOR471.DOC</v>
      </c>
      <c r="M1758" s="2" t="str">
        <f>HYPERLINK("https://docs.wto.org/imrd/directdoc.asp?DDFDocuments/v/G/SPS/NKOR471.DOC")</f>
        <v>https://docs.wto.org/imrd/directdoc.asp?DDFDocuments/v/G/SPS/NKOR471.DOC</v>
      </c>
      <c r="N1758" s="2" t="str">
        <f>HYPERLINK("http://www.epingalert.org/#/details/G/SPS/N/KOR/471")</f>
        <v>http://www.epingalert.org/#/details/G/SPS/N/KOR/471</v>
      </c>
      <c r="O1758" s="2"/>
    </row>
    <row r="1759" spans="1:15" ht="240" customHeight="1" outlineLevel="1" x14ac:dyDescent="0.25">
      <c r="A1759" s="2" t="s">
        <v>121</v>
      </c>
      <c r="B1759" s="2" t="s">
        <v>6693</v>
      </c>
      <c r="C1759" s="2" t="s">
        <v>6694</v>
      </c>
      <c r="D1759" s="2" t="s">
        <v>6695</v>
      </c>
      <c r="E1759" s="3">
        <v>41715</v>
      </c>
      <c r="F1759" s="2" t="s">
        <v>6696</v>
      </c>
      <c r="G1759" s="2" t="s">
        <v>6697</v>
      </c>
      <c r="H1759" s="2" t="s">
        <v>2573</v>
      </c>
      <c r="I1759" s="2" t="s">
        <v>6698</v>
      </c>
      <c r="J1759" s="3">
        <v>41775</v>
      </c>
      <c r="K1759" s="2" t="str">
        <f>HYPERLINK("https://docs.wto.org/imrd/directdoc.asp?DDFDocuments/t/G/SPS/NIND85.DOC")</f>
        <v>https://docs.wto.org/imrd/directdoc.asp?DDFDocuments/t/G/SPS/NIND85.DOC</v>
      </c>
      <c r="L1759" s="2" t="str">
        <f>HYPERLINK("https://docs.wto.org/imrd/directdoc.asp?DDFDocuments/u/G/SPS/NIND85.DOC")</f>
        <v>https://docs.wto.org/imrd/directdoc.asp?DDFDocuments/u/G/SPS/NIND85.DOC</v>
      </c>
      <c r="M1759" s="2" t="str">
        <f>HYPERLINK("https://docs.wto.org/imrd/directdoc.asp?DDFDocuments/v/G/SPS/NIND85.DOC")</f>
        <v>https://docs.wto.org/imrd/directdoc.asp?DDFDocuments/v/G/SPS/NIND85.DOC</v>
      </c>
      <c r="N1759" s="2" t="str">
        <f>HYPERLINK("http://www.epingalert.org/#/details/G/SPS/N/IND/85")</f>
        <v>http://www.epingalert.org/#/details/G/SPS/N/IND/85</v>
      </c>
      <c r="O1759" s="2"/>
    </row>
    <row r="1760" spans="1:15" ht="240" customHeight="1" outlineLevel="1" x14ac:dyDescent="0.25">
      <c r="A1760" s="2" t="s">
        <v>225</v>
      </c>
      <c r="B1760" s="2" t="s">
        <v>6231</v>
      </c>
      <c r="C1760" s="2" t="s">
        <v>6232</v>
      </c>
      <c r="D1760" s="2" t="s">
        <v>2494</v>
      </c>
      <c r="E1760" s="3">
        <v>41712</v>
      </c>
      <c r="F1760" s="2" t="s">
        <v>2430</v>
      </c>
      <c r="G1760" s="2"/>
      <c r="H1760" s="2" t="s">
        <v>2573</v>
      </c>
      <c r="I1760" s="2" t="s">
        <v>2431</v>
      </c>
      <c r="J1760" s="3">
        <v>41778</v>
      </c>
      <c r="K1760" s="2" t="str">
        <f>HYPERLINK("https://docs.wto.org/imrd/directdoc.asp?DDFDocuments/t/G/SPS/NAUS337.DOC")</f>
        <v>https://docs.wto.org/imrd/directdoc.asp?DDFDocuments/t/G/SPS/NAUS337.DOC</v>
      </c>
      <c r="L1760" s="2" t="str">
        <f>HYPERLINK("https://docs.wto.org/imrd/directdoc.asp?DDFDocuments/u/G/SPS/NAUS337.DOC")</f>
        <v>https://docs.wto.org/imrd/directdoc.asp?DDFDocuments/u/G/SPS/NAUS337.DOC</v>
      </c>
      <c r="M1760" s="2" t="str">
        <f>HYPERLINK("https://docs.wto.org/imrd/directdoc.asp?DDFDocuments/v/G/SPS/NAUS337.DOC")</f>
        <v>https://docs.wto.org/imrd/directdoc.asp?DDFDocuments/v/G/SPS/NAUS337.DOC</v>
      </c>
      <c r="N1760" s="2" t="str">
        <f>HYPERLINK("http://www.epingalert.org/#/details/G/SPS/N/AUS/337")</f>
        <v>http://www.epingalert.org/#/details/G/SPS/N/AUS/337</v>
      </c>
      <c r="O1760" s="2"/>
    </row>
    <row r="1761" spans="1:15" ht="240" customHeight="1" outlineLevel="1" x14ac:dyDescent="0.25">
      <c r="A1761" s="2" t="s">
        <v>12</v>
      </c>
      <c r="B1761" s="2" t="s">
        <v>6225</v>
      </c>
      <c r="C1761" s="2"/>
      <c r="D1761" s="2"/>
      <c r="E1761" s="3">
        <v>41712</v>
      </c>
      <c r="F1761" s="2" t="s">
        <v>5455</v>
      </c>
      <c r="G1761" s="2" t="s">
        <v>5456</v>
      </c>
      <c r="H1761" s="2" t="s">
        <v>2573</v>
      </c>
      <c r="I1761" s="2" t="s">
        <v>2444</v>
      </c>
      <c r="J1761" s="2"/>
      <c r="K1761" s="2" t="str">
        <f>HYPERLINK("https://docs.wto.org/imrd/directdoc.asp?DDFDocuments/t/G/SPS/NEU56A1.DOC")</f>
        <v>https://docs.wto.org/imrd/directdoc.asp?DDFDocuments/t/G/SPS/NEU56A1.DOC</v>
      </c>
      <c r="L1761" s="2" t="str">
        <f>HYPERLINK("https://docs.wto.org/imrd/directdoc.asp?DDFDocuments/u/G/SPS/NEU56A1.DOC")</f>
        <v>https://docs.wto.org/imrd/directdoc.asp?DDFDocuments/u/G/SPS/NEU56A1.DOC</v>
      </c>
      <c r="M1761" s="2" t="str">
        <f>HYPERLINK("https://docs.wto.org/imrd/directdoc.asp?DDFDocuments/v/G/SPS/NEU56A1.DOC")</f>
        <v>https://docs.wto.org/imrd/directdoc.asp?DDFDocuments/v/G/SPS/NEU56A1.DOC</v>
      </c>
      <c r="N1761" s="2" t="str">
        <f>HYPERLINK("http://www.epingalert.org/#/details/G/SPS/N/EU/56/Add.1")</f>
        <v>http://www.epingalert.org/#/details/G/SPS/N/EU/56/Add.1</v>
      </c>
      <c r="O1761" s="2"/>
    </row>
    <row r="1762" spans="1:15" ht="240" customHeight="1" outlineLevel="1" x14ac:dyDescent="0.25">
      <c r="A1762" s="2" t="s">
        <v>12</v>
      </c>
      <c r="B1762" s="2" t="s">
        <v>6226</v>
      </c>
      <c r="C1762" s="2"/>
      <c r="D1762" s="2"/>
      <c r="E1762" s="3">
        <v>41712</v>
      </c>
      <c r="F1762" s="2" t="s">
        <v>5455</v>
      </c>
      <c r="G1762" s="2" t="s">
        <v>6227</v>
      </c>
      <c r="H1762" s="2" t="s">
        <v>2648</v>
      </c>
      <c r="I1762" s="2" t="s">
        <v>2444</v>
      </c>
      <c r="J1762" s="2"/>
      <c r="K1762" s="2" t="str">
        <f>HYPERLINK("https://docs.wto.org/imrd/directdoc.asp?DDFDocuments/t/G/SPS/NEU52A1.DOC")</f>
        <v>https://docs.wto.org/imrd/directdoc.asp?DDFDocuments/t/G/SPS/NEU52A1.DOC</v>
      </c>
      <c r="L1762" s="2" t="str">
        <f>HYPERLINK("https://docs.wto.org/imrd/directdoc.asp?DDFDocuments/u/G/SPS/NEU52A1.DOC")</f>
        <v>https://docs.wto.org/imrd/directdoc.asp?DDFDocuments/u/G/SPS/NEU52A1.DOC</v>
      </c>
      <c r="M1762" s="2" t="str">
        <f>HYPERLINK("https://docs.wto.org/imrd/directdoc.asp?DDFDocuments/v/G/SPS/NEU52A1.DOC")</f>
        <v>https://docs.wto.org/imrd/directdoc.asp?DDFDocuments/v/G/SPS/NEU52A1.DOC</v>
      </c>
      <c r="N1762" s="2" t="str">
        <f>HYPERLINK("http://www.epingalert.org/#/details/G/SPS/N/EU/52/Add.1")</f>
        <v>http://www.epingalert.org/#/details/G/SPS/N/EU/52/Add.1</v>
      </c>
      <c r="O1762" s="2"/>
    </row>
    <row r="1763" spans="1:15" ht="240" customHeight="1" outlineLevel="1" x14ac:dyDescent="0.25">
      <c r="A1763" s="2" t="s">
        <v>115</v>
      </c>
      <c r="B1763" s="2" t="s">
        <v>6228</v>
      </c>
      <c r="C1763" s="2" t="s">
        <v>2622</v>
      </c>
      <c r="D1763" s="2" t="s">
        <v>6229</v>
      </c>
      <c r="E1763" s="3">
        <v>41712</v>
      </c>
      <c r="F1763" s="2" t="s">
        <v>6230</v>
      </c>
      <c r="G1763" s="2"/>
      <c r="H1763" s="2" t="s">
        <v>2573</v>
      </c>
      <c r="I1763" s="2" t="s">
        <v>2426</v>
      </c>
      <c r="J1763" s="2"/>
      <c r="K1763" s="2" t="str">
        <f>HYPERLINK("https://docs.wto.org/imrd/directdoc.asp?DDFDocuments/t/G/SPS/NJPN336.DOC")</f>
        <v>https://docs.wto.org/imrd/directdoc.asp?DDFDocuments/t/G/SPS/NJPN336.DOC</v>
      </c>
      <c r="L1763" s="2" t="str">
        <f>HYPERLINK("https://docs.wto.org/imrd/directdoc.asp?DDFDocuments/u/G/SPS/NJPN336.DOC")</f>
        <v>https://docs.wto.org/imrd/directdoc.asp?DDFDocuments/u/G/SPS/NJPN336.DOC</v>
      </c>
      <c r="M1763" s="2" t="str">
        <f>HYPERLINK("https://docs.wto.org/imrd/directdoc.asp?DDFDocuments/v/G/SPS/NJPN336.DOC")</f>
        <v>https://docs.wto.org/imrd/directdoc.asp?DDFDocuments/v/G/SPS/NJPN336.DOC</v>
      </c>
      <c r="N1763" s="2" t="str">
        <f>HYPERLINK("http://www.epingalert.org/#/details/G/SPS/N/JPN/336")</f>
        <v>http://www.epingalert.org/#/details/G/SPS/N/JPN/336</v>
      </c>
      <c r="O1763" s="2"/>
    </row>
    <row r="1764" spans="1:15" ht="240" customHeight="1" outlineLevel="1" x14ac:dyDescent="0.25">
      <c r="A1764" s="2" t="s">
        <v>173</v>
      </c>
      <c r="B1764" s="2" t="s">
        <v>6233</v>
      </c>
      <c r="C1764" s="2" t="s">
        <v>6234</v>
      </c>
      <c r="D1764" s="2" t="s">
        <v>5327</v>
      </c>
      <c r="E1764" s="3">
        <v>41710</v>
      </c>
      <c r="F1764" s="2" t="s">
        <v>6235</v>
      </c>
      <c r="G1764" s="2"/>
      <c r="H1764" s="2" t="s">
        <v>2573</v>
      </c>
      <c r="I1764" s="2" t="s">
        <v>2426</v>
      </c>
      <c r="J1764" s="3">
        <v>41770</v>
      </c>
      <c r="K1764" s="2" t="str">
        <f>HYPERLINK("https://docs.wto.org/imrd/directdoc.asp?DDFDocuments/t/G/SPS/NSAU100.DOC")</f>
        <v>https://docs.wto.org/imrd/directdoc.asp?DDFDocuments/t/G/SPS/NSAU100.DOC</v>
      </c>
      <c r="L1764" s="2" t="str">
        <f>HYPERLINK("https://docs.wto.org/imrd/directdoc.asp?DDFDocuments/u/G/SPS/NSAU100.DOC")</f>
        <v>https://docs.wto.org/imrd/directdoc.asp?DDFDocuments/u/G/SPS/NSAU100.DOC</v>
      </c>
      <c r="M1764" s="2" t="str">
        <f>HYPERLINK("https://docs.wto.org/imrd/directdoc.asp?DDFDocuments/v/G/SPS/NSAU100.DOC")</f>
        <v>https://docs.wto.org/imrd/directdoc.asp?DDFDocuments/v/G/SPS/NSAU100.DOC</v>
      </c>
      <c r="N1764" s="2" t="str">
        <f>HYPERLINK("http://www.epingalert.org/#/details/G/SPS/N/SAU/100")</f>
        <v>http://www.epingalert.org/#/details/G/SPS/N/SAU/100</v>
      </c>
      <c r="O1764" s="2"/>
    </row>
    <row r="1765" spans="1:15" ht="240" customHeight="1" outlineLevel="1" x14ac:dyDescent="0.25">
      <c r="A1765" s="2" t="s">
        <v>170</v>
      </c>
      <c r="B1765" s="2" t="s">
        <v>8611</v>
      </c>
      <c r="C1765" s="2" t="s">
        <v>8612</v>
      </c>
      <c r="D1765" s="2" t="s">
        <v>8613</v>
      </c>
      <c r="E1765" s="3">
        <v>41710</v>
      </c>
      <c r="F1765" s="2" t="s">
        <v>8614</v>
      </c>
      <c r="G1765" s="2" t="s">
        <v>2248</v>
      </c>
      <c r="H1765" s="2" t="s">
        <v>2573</v>
      </c>
      <c r="I1765" s="2" t="s">
        <v>2461</v>
      </c>
      <c r="J1765" s="3">
        <v>41770</v>
      </c>
      <c r="K1765" s="2" t="str">
        <f>HYPERLINK("https://docs.wto.org/imrd/directdoc.asp?DDFDocuments/t/G/SPS/NSLV114.DOC")</f>
        <v>https://docs.wto.org/imrd/directdoc.asp?DDFDocuments/t/G/SPS/NSLV114.DOC</v>
      </c>
      <c r="L1765" s="2" t="str">
        <f>HYPERLINK("https://docs.wto.org/imrd/directdoc.asp?DDFDocuments/u/G/SPS/NSLV114.DOC")</f>
        <v>https://docs.wto.org/imrd/directdoc.asp?DDFDocuments/u/G/SPS/NSLV114.DOC</v>
      </c>
      <c r="M1765" s="2" t="str">
        <f>HYPERLINK("https://docs.wto.org/imrd/directdoc.asp?DDFDocuments/v/G/SPS/NSLV114.DOC")</f>
        <v>https://docs.wto.org/imrd/directdoc.asp?DDFDocuments/v/G/SPS/NSLV114.DOC</v>
      </c>
      <c r="N1765" s="2" t="str">
        <f>HYPERLINK("http://www.epingalert.org/#/details/G/SPS/N/SLV/114")</f>
        <v>http://www.epingalert.org/#/details/G/SPS/N/SLV/114</v>
      </c>
      <c r="O1765" s="2"/>
    </row>
    <row r="1766" spans="1:15" ht="240" customHeight="1" outlineLevel="1" x14ac:dyDescent="0.25">
      <c r="A1766" s="2" t="s">
        <v>173</v>
      </c>
      <c r="B1766" s="2" t="s">
        <v>6237</v>
      </c>
      <c r="C1766" s="2" t="s">
        <v>6238</v>
      </c>
      <c r="D1766" s="2" t="s">
        <v>6239</v>
      </c>
      <c r="E1766" s="3">
        <v>41709</v>
      </c>
      <c r="F1766" s="2" t="s">
        <v>6110</v>
      </c>
      <c r="G1766" s="2" t="s">
        <v>3481</v>
      </c>
      <c r="H1766" s="2" t="s">
        <v>2573</v>
      </c>
      <c r="I1766" s="2" t="s">
        <v>2461</v>
      </c>
      <c r="J1766" s="3">
        <v>41769</v>
      </c>
      <c r="K1766" s="2" t="str">
        <f>HYPERLINK("https://docs.wto.org/imrd/directdoc.asp?DDFDocuments/t/G/SPS/NSAU98.DOC")</f>
        <v>https://docs.wto.org/imrd/directdoc.asp?DDFDocuments/t/G/SPS/NSAU98.DOC</v>
      </c>
      <c r="L1766" s="2" t="str">
        <f>HYPERLINK("https://docs.wto.org/imrd/directdoc.asp?DDFDocuments/u/G/SPS/NSAU98.DOC")</f>
        <v>https://docs.wto.org/imrd/directdoc.asp?DDFDocuments/u/G/SPS/NSAU98.DOC</v>
      </c>
      <c r="M1766" s="2" t="str">
        <f>HYPERLINK("https://docs.wto.org/imrd/directdoc.asp?DDFDocuments/v/G/SPS/NSAU98.DOC")</f>
        <v>https://docs.wto.org/imrd/directdoc.asp?DDFDocuments/v/G/SPS/NSAU98.DOC</v>
      </c>
      <c r="N1766" s="2" t="str">
        <f>HYPERLINK("http://www.epingalert.org/#/details/G/SPS/N/SAU/98")</f>
        <v>http://www.epingalert.org/#/details/G/SPS/N/SAU/98</v>
      </c>
      <c r="O1766" s="2"/>
    </row>
    <row r="1767" spans="1:15" ht="240" customHeight="1" outlineLevel="1" x14ac:dyDescent="0.25">
      <c r="A1767" s="2" t="s">
        <v>380</v>
      </c>
      <c r="B1767" s="2" t="s">
        <v>6240</v>
      </c>
      <c r="C1767" s="2" t="s">
        <v>6241</v>
      </c>
      <c r="D1767" s="2" t="s">
        <v>6242</v>
      </c>
      <c r="E1767" s="3">
        <v>41709</v>
      </c>
      <c r="F1767" s="2" t="s">
        <v>6243</v>
      </c>
      <c r="G1767" s="2" t="s">
        <v>3481</v>
      </c>
      <c r="H1767" s="2" t="s">
        <v>2573</v>
      </c>
      <c r="I1767" s="2" t="s">
        <v>2461</v>
      </c>
      <c r="J1767" s="3">
        <v>41769</v>
      </c>
      <c r="K1767" s="2" t="str">
        <f>HYPERLINK("https://docs.wto.org/imrd/directdoc.asp?DDFDocuments/t/G/SPS/NCHN644.DOC")</f>
        <v>https://docs.wto.org/imrd/directdoc.asp?DDFDocuments/t/G/SPS/NCHN644.DOC</v>
      </c>
      <c r="L1767" s="2" t="str">
        <f>HYPERLINK("https://docs.wto.org/imrd/directdoc.asp?DDFDocuments/u/G/SPS/NCHN644.DOC")</f>
        <v>https://docs.wto.org/imrd/directdoc.asp?DDFDocuments/u/G/SPS/NCHN644.DOC</v>
      </c>
      <c r="M1767" s="2" t="str">
        <f>HYPERLINK("https://docs.wto.org/imrd/directdoc.asp?DDFDocuments/v/G/SPS/NCHN644.DOC")</f>
        <v>https://docs.wto.org/imrd/directdoc.asp?DDFDocuments/v/G/SPS/NCHN644.DOC</v>
      </c>
      <c r="N1767" s="2" t="str">
        <f>HYPERLINK("http://www.epingalert.org/#/details/G/SPS/N/CHN/644")</f>
        <v>http://www.epingalert.org/#/details/G/SPS/N/CHN/644</v>
      </c>
      <c r="O1767" s="2"/>
    </row>
    <row r="1768" spans="1:15" ht="240" customHeight="1" outlineLevel="1" x14ac:dyDescent="0.25">
      <c r="A1768" s="2" t="s">
        <v>380</v>
      </c>
      <c r="B1768" s="2" t="s">
        <v>6244</v>
      </c>
      <c r="C1768" s="2" t="s">
        <v>6245</v>
      </c>
      <c r="D1768" s="2" t="s">
        <v>6246</v>
      </c>
      <c r="E1768" s="3">
        <v>41709</v>
      </c>
      <c r="F1768" s="2" t="s">
        <v>384</v>
      </c>
      <c r="G1768" s="2"/>
      <c r="H1768" s="2" t="s">
        <v>2573</v>
      </c>
      <c r="I1768" s="2" t="s">
        <v>2461</v>
      </c>
      <c r="J1768" s="3">
        <v>41769</v>
      </c>
      <c r="K1768" s="2" t="str">
        <f>HYPERLINK("https://docs.wto.org/imrd/directdoc.asp?DDFDocuments/t/G/SPS/NCHN638.DOC")</f>
        <v>https://docs.wto.org/imrd/directdoc.asp?DDFDocuments/t/G/SPS/NCHN638.DOC</v>
      </c>
      <c r="L1768" s="2" t="str">
        <f>HYPERLINK("https://docs.wto.org/imrd/directdoc.asp?DDFDocuments/u/G/SPS/NCHN638.DOC")</f>
        <v>https://docs.wto.org/imrd/directdoc.asp?DDFDocuments/u/G/SPS/NCHN638.DOC</v>
      </c>
      <c r="M1768" s="2" t="str">
        <f>HYPERLINK("https://docs.wto.org/imrd/directdoc.asp?DDFDocuments/v/G/SPS/NCHN638.DOC")</f>
        <v>https://docs.wto.org/imrd/directdoc.asp?DDFDocuments/v/G/SPS/NCHN638.DOC</v>
      </c>
      <c r="N1768" s="2" t="str">
        <f>HYPERLINK("http://www.epingalert.org/#/details/G/SPS/N/CHN/638")</f>
        <v>http://www.epingalert.org/#/details/G/SPS/N/CHN/638</v>
      </c>
      <c r="O1768" s="2"/>
    </row>
    <row r="1769" spans="1:15" ht="240" customHeight="1" outlineLevel="1" x14ac:dyDescent="0.25">
      <c r="A1769" s="2" t="s">
        <v>380</v>
      </c>
      <c r="B1769" s="2" t="s">
        <v>6247</v>
      </c>
      <c r="C1769" s="2" t="s">
        <v>6248</v>
      </c>
      <c r="D1769" s="2" t="s">
        <v>6249</v>
      </c>
      <c r="E1769" s="3">
        <v>41709</v>
      </c>
      <c r="F1769" s="2" t="s">
        <v>6250</v>
      </c>
      <c r="G1769" s="2"/>
      <c r="H1769" s="2" t="s">
        <v>2573</v>
      </c>
      <c r="I1769" s="2" t="s">
        <v>2447</v>
      </c>
      <c r="J1769" s="3">
        <v>41769</v>
      </c>
      <c r="K1769" s="2" t="str">
        <f>HYPERLINK("https://docs.wto.org/imrd/directdoc.asp?DDFDocuments/t/G/SPS/NCHN636.DOC")</f>
        <v>https://docs.wto.org/imrd/directdoc.asp?DDFDocuments/t/G/SPS/NCHN636.DOC</v>
      </c>
      <c r="L1769" s="2" t="str">
        <f>HYPERLINK("https://docs.wto.org/imrd/directdoc.asp?DDFDocuments/u/G/SPS/NCHN636.DOC")</f>
        <v>https://docs.wto.org/imrd/directdoc.asp?DDFDocuments/u/G/SPS/NCHN636.DOC</v>
      </c>
      <c r="M1769" s="2" t="str">
        <f>HYPERLINK("https://docs.wto.org/imrd/directdoc.asp?DDFDocuments/v/G/SPS/NCHN636.DOC")</f>
        <v>https://docs.wto.org/imrd/directdoc.asp?DDFDocuments/v/G/SPS/NCHN636.DOC</v>
      </c>
      <c r="N1769" s="2" t="str">
        <f>HYPERLINK("http://www.epingalert.org/#/details/G/SPS/N/CHN/636")</f>
        <v>http://www.epingalert.org/#/details/G/SPS/N/CHN/636</v>
      </c>
      <c r="O1769" s="2"/>
    </row>
    <row r="1770" spans="1:15" ht="240" customHeight="1" outlineLevel="1" x14ac:dyDescent="0.25">
      <c r="A1770" s="2" t="s">
        <v>173</v>
      </c>
      <c r="B1770" s="2" t="s">
        <v>6557</v>
      </c>
      <c r="C1770" s="2" t="s">
        <v>6558</v>
      </c>
      <c r="D1770" s="2" t="s">
        <v>6559</v>
      </c>
      <c r="E1770" s="3">
        <v>41709</v>
      </c>
      <c r="F1770" s="2" t="s">
        <v>1584</v>
      </c>
      <c r="G1770" s="2" t="s">
        <v>2049</v>
      </c>
      <c r="H1770" s="2" t="s">
        <v>2573</v>
      </c>
      <c r="I1770" s="2" t="s">
        <v>6503</v>
      </c>
      <c r="J1770" s="3">
        <v>41769</v>
      </c>
      <c r="K1770" s="2" t="str">
        <f>HYPERLINK("https://docs.wto.org/imrd/directdoc.asp?DDFDocuments/t/G/SPS/NSAU99.DOC")</f>
        <v>https://docs.wto.org/imrd/directdoc.asp?DDFDocuments/t/G/SPS/NSAU99.DOC</v>
      </c>
      <c r="L1770" s="2" t="str">
        <f>HYPERLINK("https://docs.wto.org/imrd/directdoc.asp?DDFDocuments/u/G/SPS/NSAU99.DOC")</f>
        <v>https://docs.wto.org/imrd/directdoc.asp?DDFDocuments/u/G/SPS/NSAU99.DOC</v>
      </c>
      <c r="M1770" s="2" t="str">
        <f>HYPERLINK("https://docs.wto.org/imrd/directdoc.asp?DDFDocuments/v/G/SPS/NSAU99.DOC")</f>
        <v>https://docs.wto.org/imrd/directdoc.asp?DDFDocuments/v/G/SPS/NSAU99.DOC</v>
      </c>
      <c r="N1770" s="2" t="str">
        <f>HYPERLINK("http://www.epingalert.org/#/details/G/SPS/N/SAU/99")</f>
        <v>http://www.epingalert.org/#/details/G/SPS/N/SAU/99</v>
      </c>
      <c r="O1770" s="2"/>
    </row>
    <row r="1771" spans="1:15" ht="240" customHeight="1" outlineLevel="1" x14ac:dyDescent="0.25">
      <c r="A1771" s="2" t="s">
        <v>380</v>
      </c>
      <c r="B1771" s="2" t="s">
        <v>6560</v>
      </c>
      <c r="C1771" s="2" t="s">
        <v>6561</v>
      </c>
      <c r="D1771" s="2" t="s">
        <v>6562</v>
      </c>
      <c r="E1771" s="3">
        <v>41709</v>
      </c>
      <c r="F1771" s="2" t="s">
        <v>6541</v>
      </c>
      <c r="G1771" s="2" t="s">
        <v>2049</v>
      </c>
      <c r="H1771" s="2" t="s">
        <v>2573</v>
      </c>
      <c r="I1771" s="2" t="s">
        <v>6503</v>
      </c>
      <c r="J1771" s="3">
        <v>41769</v>
      </c>
      <c r="K1771" s="2" t="str">
        <f>HYPERLINK("https://docs.wto.org/imrd/directdoc.asp?DDFDocuments/t/G/SPS/NCHN637.DOC")</f>
        <v>https://docs.wto.org/imrd/directdoc.asp?DDFDocuments/t/G/SPS/NCHN637.DOC</v>
      </c>
      <c r="L1771" s="2" t="str">
        <f>HYPERLINK("https://docs.wto.org/imrd/directdoc.asp?DDFDocuments/u/G/SPS/NCHN637.DOC")</f>
        <v>https://docs.wto.org/imrd/directdoc.asp?DDFDocuments/u/G/SPS/NCHN637.DOC</v>
      </c>
      <c r="M1771" s="2" t="str">
        <f>HYPERLINK("https://docs.wto.org/imrd/directdoc.asp?DDFDocuments/v/G/SPS/NCHN637.DOC")</f>
        <v>https://docs.wto.org/imrd/directdoc.asp?DDFDocuments/v/G/SPS/NCHN637.DOC</v>
      </c>
      <c r="N1771" s="2" t="str">
        <f>HYPERLINK("http://www.epingalert.org/#/details/G/SPS/N/CHN/637")</f>
        <v>http://www.epingalert.org/#/details/G/SPS/N/CHN/637</v>
      </c>
      <c r="O1771" s="2"/>
    </row>
    <row r="1772" spans="1:15" ht="240" customHeight="1" outlineLevel="1" x14ac:dyDescent="0.25">
      <c r="A1772" s="2" t="s">
        <v>173</v>
      </c>
      <c r="B1772" s="2" t="s">
        <v>8617</v>
      </c>
      <c r="C1772" s="2" t="s">
        <v>8618</v>
      </c>
      <c r="D1772" s="2" t="s">
        <v>8619</v>
      </c>
      <c r="E1772" s="3">
        <v>41709</v>
      </c>
      <c r="F1772" s="2" t="s">
        <v>8472</v>
      </c>
      <c r="G1772" s="2" t="s">
        <v>1972</v>
      </c>
      <c r="H1772" s="2" t="s">
        <v>2573</v>
      </c>
      <c r="I1772" s="2" t="s">
        <v>2461</v>
      </c>
      <c r="J1772" s="3">
        <v>41769</v>
      </c>
      <c r="K1772" s="2" t="str">
        <f>HYPERLINK("https://docs.wto.org/imrd/directdoc.asp?DDFDocuments/t/G/SPS/NSAU97.DOC")</f>
        <v>https://docs.wto.org/imrd/directdoc.asp?DDFDocuments/t/G/SPS/NSAU97.DOC</v>
      </c>
      <c r="L1772" s="2" t="str">
        <f>HYPERLINK("https://docs.wto.org/imrd/directdoc.asp?DDFDocuments/u/G/SPS/NSAU97.DOC")</f>
        <v>https://docs.wto.org/imrd/directdoc.asp?DDFDocuments/u/G/SPS/NSAU97.DOC</v>
      </c>
      <c r="M1772" s="2" t="str">
        <f>HYPERLINK("https://docs.wto.org/imrd/directdoc.asp?DDFDocuments/v/G/SPS/NSAU97.DOC")</f>
        <v>https://docs.wto.org/imrd/directdoc.asp?DDFDocuments/v/G/SPS/NSAU97.DOC</v>
      </c>
      <c r="N1772" s="2" t="str">
        <f>HYPERLINK("http://www.epingalert.org/#/details/G/SPS/N/SAU/97")</f>
        <v>http://www.epingalert.org/#/details/G/SPS/N/SAU/97</v>
      </c>
      <c r="O1772" s="2"/>
    </row>
    <row r="1773" spans="1:15" ht="240" customHeight="1" outlineLevel="1" x14ac:dyDescent="0.25">
      <c r="A1773" s="2" t="s">
        <v>163</v>
      </c>
      <c r="B1773" s="2" t="s">
        <v>8620</v>
      </c>
      <c r="C1773" s="2" t="s">
        <v>8621</v>
      </c>
      <c r="D1773" s="2" t="s">
        <v>8622</v>
      </c>
      <c r="E1773" s="3">
        <v>41709</v>
      </c>
      <c r="F1773" s="2" t="s">
        <v>8614</v>
      </c>
      <c r="G1773" s="2" t="s">
        <v>2381</v>
      </c>
      <c r="H1773" s="2" t="s">
        <v>2573</v>
      </c>
      <c r="I1773" s="2" t="s">
        <v>2461</v>
      </c>
      <c r="J1773" s="3">
        <v>41769</v>
      </c>
      <c r="K1773" s="2" t="str">
        <f>HYPERLINK("https://docs.wto.org/imrd/directdoc.asp?DDFDocuments/t/G/SPS/NPAN58.DOC")</f>
        <v>https://docs.wto.org/imrd/directdoc.asp?DDFDocuments/t/G/SPS/NPAN58.DOC</v>
      </c>
      <c r="L1773" s="2" t="str">
        <f>HYPERLINK("https://docs.wto.org/imrd/directdoc.asp?DDFDocuments/u/G/SPS/NPAN58.DOC")</f>
        <v>https://docs.wto.org/imrd/directdoc.asp?DDFDocuments/u/G/SPS/NPAN58.DOC</v>
      </c>
      <c r="M1773" s="2" t="str">
        <f>HYPERLINK("https://docs.wto.org/imrd/directdoc.asp?DDFDocuments/v/G/SPS/NPAN58.DOC")</f>
        <v>https://docs.wto.org/imrd/directdoc.asp?DDFDocuments/v/G/SPS/NPAN58.DOC</v>
      </c>
      <c r="N1773" s="2" t="str">
        <f>HYPERLINK("http://www.epingalert.org/#/details/G/SPS/N/PAN/58")</f>
        <v>http://www.epingalert.org/#/details/G/SPS/N/PAN/58</v>
      </c>
      <c r="O1773" s="2"/>
    </row>
    <row r="1774" spans="1:15" ht="240" customHeight="1" outlineLevel="1" x14ac:dyDescent="0.25">
      <c r="A1774" s="2" t="s">
        <v>163</v>
      </c>
      <c r="B1774" s="2" t="s">
        <v>8623</v>
      </c>
      <c r="C1774" s="2" t="s">
        <v>8612</v>
      </c>
      <c r="D1774" s="2" t="s">
        <v>8613</v>
      </c>
      <c r="E1774" s="3">
        <v>41709</v>
      </c>
      <c r="F1774" s="2" t="s">
        <v>8614</v>
      </c>
      <c r="G1774" s="2" t="s">
        <v>2248</v>
      </c>
      <c r="H1774" s="2" t="s">
        <v>2573</v>
      </c>
      <c r="I1774" s="2" t="s">
        <v>2461</v>
      </c>
      <c r="J1774" s="3">
        <v>41769</v>
      </c>
      <c r="K1774" s="2" t="str">
        <f>HYPERLINK("https://docs.wto.org/imrd/directdoc.asp?DDFDocuments/t/G/SPS/NPAN57.DOC")</f>
        <v>https://docs.wto.org/imrd/directdoc.asp?DDFDocuments/t/G/SPS/NPAN57.DOC</v>
      </c>
      <c r="L1774" s="2" t="str">
        <f>HYPERLINK("https://docs.wto.org/imrd/directdoc.asp?DDFDocuments/u/G/SPS/NPAN57.DOC")</f>
        <v>https://docs.wto.org/imrd/directdoc.asp?DDFDocuments/u/G/SPS/NPAN57.DOC</v>
      </c>
      <c r="M1774" s="2" t="str">
        <f>HYPERLINK("https://docs.wto.org/imrd/directdoc.asp?DDFDocuments/v/G/SPS/NPAN57.DOC")</f>
        <v>https://docs.wto.org/imrd/directdoc.asp?DDFDocuments/v/G/SPS/NPAN57.DOC</v>
      </c>
      <c r="N1774" s="2" t="str">
        <f>HYPERLINK("http://www.epingalert.org/#/details/G/SPS/N/PAN/57")</f>
        <v>http://www.epingalert.org/#/details/G/SPS/N/PAN/57</v>
      </c>
      <c r="O1774" s="2"/>
    </row>
    <row r="1775" spans="1:15" ht="240" customHeight="1" outlineLevel="1" x14ac:dyDescent="0.25">
      <c r="A1775" s="2" t="s">
        <v>380</v>
      </c>
      <c r="B1775" s="2" t="s">
        <v>8628</v>
      </c>
      <c r="C1775" s="2" t="s">
        <v>8629</v>
      </c>
      <c r="D1775" s="2" t="s">
        <v>8630</v>
      </c>
      <c r="E1775" s="3">
        <v>41709</v>
      </c>
      <c r="F1775" s="2" t="s">
        <v>8631</v>
      </c>
      <c r="G1775" s="2" t="s">
        <v>8632</v>
      </c>
      <c r="H1775" s="2" t="s">
        <v>2573</v>
      </c>
      <c r="I1775" s="2" t="s">
        <v>2461</v>
      </c>
      <c r="J1775" s="3">
        <v>41769</v>
      </c>
      <c r="K1775" s="2" t="str">
        <f>HYPERLINK("https://docs.wto.org/imrd/directdoc.asp?DDFDocuments/t/G/SPS/NCHN647.DOC")</f>
        <v>https://docs.wto.org/imrd/directdoc.asp?DDFDocuments/t/G/SPS/NCHN647.DOC</v>
      </c>
      <c r="L1775" s="2" t="str">
        <f>HYPERLINK("https://docs.wto.org/imrd/directdoc.asp?DDFDocuments/u/G/SPS/NCHN647.DOC")</f>
        <v>https://docs.wto.org/imrd/directdoc.asp?DDFDocuments/u/G/SPS/NCHN647.DOC</v>
      </c>
      <c r="M1775" s="2" t="str">
        <f>HYPERLINK("https://docs.wto.org/imrd/directdoc.asp?DDFDocuments/v/G/SPS/NCHN647.DOC")</f>
        <v>https://docs.wto.org/imrd/directdoc.asp?DDFDocuments/v/G/SPS/NCHN647.DOC</v>
      </c>
      <c r="N1775" s="2" t="str">
        <f>HYPERLINK("http://www.epingalert.org/#/details/G/SPS/N/CHN/647")</f>
        <v>http://www.epingalert.org/#/details/G/SPS/N/CHN/647</v>
      </c>
      <c r="O1775" s="2"/>
    </row>
    <row r="1776" spans="1:15" ht="240" customHeight="1" outlineLevel="1" x14ac:dyDescent="0.25">
      <c r="A1776" s="2" t="s">
        <v>380</v>
      </c>
      <c r="B1776" s="2" t="s">
        <v>8633</v>
      </c>
      <c r="C1776" s="2" t="s">
        <v>8634</v>
      </c>
      <c r="D1776" s="2" t="s">
        <v>8635</v>
      </c>
      <c r="E1776" s="3">
        <v>41709</v>
      </c>
      <c r="F1776" s="2" t="s">
        <v>8636</v>
      </c>
      <c r="G1776" s="2" t="s">
        <v>8637</v>
      </c>
      <c r="H1776" s="2" t="s">
        <v>2573</v>
      </c>
      <c r="I1776" s="2" t="s">
        <v>2461</v>
      </c>
      <c r="J1776" s="3">
        <v>41769</v>
      </c>
      <c r="K1776" s="2" t="str">
        <f>HYPERLINK("https://docs.wto.org/imrd/directdoc.asp?DDFDocuments/t/G/SPS/NCHN645.DOC")</f>
        <v>https://docs.wto.org/imrd/directdoc.asp?DDFDocuments/t/G/SPS/NCHN645.DOC</v>
      </c>
      <c r="L1776" s="2" t="str">
        <f>HYPERLINK("https://docs.wto.org/imrd/directdoc.asp?DDFDocuments/u/G/SPS/NCHN645.DOC")</f>
        <v>https://docs.wto.org/imrd/directdoc.asp?DDFDocuments/u/G/SPS/NCHN645.DOC</v>
      </c>
      <c r="M1776" s="2" t="str">
        <f>HYPERLINK("https://docs.wto.org/imrd/directdoc.asp?DDFDocuments/v/G/SPS/NCHN645.DOC")</f>
        <v>https://docs.wto.org/imrd/directdoc.asp?DDFDocuments/v/G/SPS/NCHN645.DOC</v>
      </c>
      <c r="N1776" s="2" t="str">
        <f>HYPERLINK("http://www.epingalert.org/#/details/G/SPS/N/CHN/645")</f>
        <v>http://www.epingalert.org/#/details/G/SPS/N/CHN/645</v>
      </c>
      <c r="O1776" s="2"/>
    </row>
    <row r="1777" spans="1:15" ht="240" customHeight="1" outlineLevel="1" x14ac:dyDescent="0.25">
      <c r="A1777" s="2" t="s">
        <v>380</v>
      </c>
      <c r="B1777" s="2" t="s">
        <v>8638</v>
      </c>
      <c r="C1777" s="2" t="s">
        <v>8639</v>
      </c>
      <c r="D1777" s="2" t="s">
        <v>8640</v>
      </c>
      <c r="E1777" s="3">
        <v>41709</v>
      </c>
      <c r="F1777" s="2" t="s">
        <v>8641</v>
      </c>
      <c r="G1777" s="2" t="s">
        <v>8642</v>
      </c>
      <c r="H1777" s="2" t="s">
        <v>2573</v>
      </c>
      <c r="I1777" s="2" t="s">
        <v>2461</v>
      </c>
      <c r="J1777" s="3">
        <v>41769</v>
      </c>
      <c r="K1777" s="2" t="str">
        <f>HYPERLINK("https://docs.wto.org/imrd/directdoc.asp?DDFDocuments/t/G/SPS/NCHN643.DOC")</f>
        <v>https://docs.wto.org/imrd/directdoc.asp?DDFDocuments/t/G/SPS/NCHN643.DOC</v>
      </c>
      <c r="L1777" s="2" t="str">
        <f>HYPERLINK("https://docs.wto.org/imrd/directdoc.asp?DDFDocuments/u/G/SPS/NCHN643.DOC")</f>
        <v>https://docs.wto.org/imrd/directdoc.asp?DDFDocuments/u/G/SPS/NCHN643.DOC</v>
      </c>
      <c r="M1777" s="2" t="str">
        <f>HYPERLINK("https://docs.wto.org/imrd/directdoc.asp?DDFDocuments/v/G/SPS/NCHN643.DOC")</f>
        <v>https://docs.wto.org/imrd/directdoc.asp?DDFDocuments/v/G/SPS/NCHN643.DOC</v>
      </c>
      <c r="N1777" s="2" t="str">
        <f>HYPERLINK("http://www.epingalert.org/#/details/G/SPS/N/CHN/643")</f>
        <v>http://www.epingalert.org/#/details/G/SPS/N/CHN/643</v>
      </c>
      <c r="O1777" s="2"/>
    </row>
    <row r="1778" spans="1:15" ht="240" customHeight="1" outlineLevel="1" x14ac:dyDescent="0.25">
      <c r="A1778" s="2" t="s">
        <v>380</v>
      </c>
      <c r="B1778" s="2" t="s">
        <v>8643</v>
      </c>
      <c r="C1778" s="2" t="s">
        <v>8644</v>
      </c>
      <c r="D1778" s="2" t="s">
        <v>8645</v>
      </c>
      <c r="E1778" s="3">
        <v>41709</v>
      </c>
      <c r="F1778" s="2" t="s">
        <v>8646</v>
      </c>
      <c r="G1778" s="2" t="s">
        <v>8647</v>
      </c>
      <c r="H1778" s="2" t="s">
        <v>2573</v>
      </c>
      <c r="I1778" s="2" t="s">
        <v>2461</v>
      </c>
      <c r="J1778" s="3">
        <v>41769</v>
      </c>
      <c r="K1778" s="2" t="str">
        <f>HYPERLINK("https://docs.wto.org/imrd/directdoc.asp?DDFDocuments/t/G/SPS/NCHN642.DOC")</f>
        <v>https://docs.wto.org/imrd/directdoc.asp?DDFDocuments/t/G/SPS/NCHN642.DOC</v>
      </c>
      <c r="L1778" s="2" t="str">
        <f>HYPERLINK("https://docs.wto.org/imrd/directdoc.asp?DDFDocuments/u/G/SPS/NCHN642.DOC")</f>
        <v>https://docs.wto.org/imrd/directdoc.asp?DDFDocuments/u/G/SPS/NCHN642.DOC</v>
      </c>
      <c r="M1778" s="2" t="str">
        <f>HYPERLINK("https://docs.wto.org/imrd/directdoc.asp?DDFDocuments/v/G/SPS/NCHN642.DOC")</f>
        <v>https://docs.wto.org/imrd/directdoc.asp?DDFDocuments/v/G/SPS/NCHN642.DOC</v>
      </c>
      <c r="N1778" s="2" t="str">
        <f>HYPERLINK("http://www.epingalert.org/#/details/G/SPS/N/CHN/642")</f>
        <v>http://www.epingalert.org/#/details/G/SPS/N/CHN/642</v>
      </c>
      <c r="O1778" s="2"/>
    </row>
    <row r="1779" spans="1:15" ht="240" customHeight="1" outlineLevel="1" x14ac:dyDescent="0.25">
      <c r="A1779" s="2" t="s">
        <v>158</v>
      </c>
      <c r="B1779" s="2" t="s">
        <v>8624</v>
      </c>
      <c r="C1779" s="2" t="s">
        <v>8621</v>
      </c>
      <c r="D1779" s="2" t="s">
        <v>8625</v>
      </c>
      <c r="E1779" s="3">
        <v>41709</v>
      </c>
      <c r="F1779" s="2" t="s">
        <v>8626</v>
      </c>
      <c r="G1779" s="2" t="s">
        <v>2381</v>
      </c>
      <c r="H1779" s="2" t="s">
        <v>2573</v>
      </c>
      <c r="I1779" s="2" t="s">
        <v>2461</v>
      </c>
      <c r="J1779" s="3">
        <v>41762</v>
      </c>
      <c r="K1779" s="2" t="str">
        <f>HYPERLINK("https://docs.wto.org/imrd/directdoc.asp?DDFDocuments/t/G/SPS/NCRI147.DOC")</f>
        <v>https://docs.wto.org/imrd/directdoc.asp?DDFDocuments/t/G/SPS/NCRI147.DOC</v>
      </c>
      <c r="L1779" s="2" t="str">
        <f>HYPERLINK("https://docs.wto.org/imrd/directdoc.asp?DDFDocuments/u/G/SPS/NCRI147.DOC")</f>
        <v>https://docs.wto.org/imrd/directdoc.asp?DDFDocuments/u/G/SPS/NCRI147.DOC</v>
      </c>
      <c r="M1779" s="2" t="str">
        <f>HYPERLINK("https://docs.wto.org/imrd/directdoc.asp?DDFDocuments/v/G/SPS/NCRI147.DOC")</f>
        <v>https://docs.wto.org/imrd/directdoc.asp?DDFDocuments/v/G/SPS/NCRI147.DOC</v>
      </c>
      <c r="N1779" s="2" t="str">
        <f>HYPERLINK("http://www.epingalert.org/#/details/G/SPS/N/CRI/147")</f>
        <v>http://www.epingalert.org/#/details/G/SPS/N/CRI/147</v>
      </c>
      <c r="O1779" s="2"/>
    </row>
    <row r="1780" spans="1:15" ht="240" customHeight="1" outlineLevel="1" x14ac:dyDescent="0.25">
      <c r="A1780" s="2" t="s">
        <v>158</v>
      </c>
      <c r="B1780" s="2" t="s">
        <v>8627</v>
      </c>
      <c r="C1780" s="2" t="s">
        <v>8612</v>
      </c>
      <c r="D1780" s="2" t="s">
        <v>8613</v>
      </c>
      <c r="E1780" s="3">
        <v>41709</v>
      </c>
      <c r="F1780" s="2" t="s">
        <v>8626</v>
      </c>
      <c r="G1780" s="2" t="s">
        <v>2248</v>
      </c>
      <c r="H1780" s="2" t="s">
        <v>2573</v>
      </c>
      <c r="I1780" s="2" t="s">
        <v>2461</v>
      </c>
      <c r="J1780" s="3">
        <v>41762</v>
      </c>
      <c r="K1780" s="2" t="str">
        <f>HYPERLINK("https://docs.wto.org/imrd/directdoc.asp?DDFDocuments/t/G/SPS/NCRI146.DOC")</f>
        <v>https://docs.wto.org/imrd/directdoc.asp?DDFDocuments/t/G/SPS/NCRI146.DOC</v>
      </c>
      <c r="L1780" s="2" t="str">
        <f>HYPERLINK("https://docs.wto.org/imrd/directdoc.asp?DDFDocuments/u/G/SPS/NCRI146.DOC")</f>
        <v>https://docs.wto.org/imrd/directdoc.asp?DDFDocuments/u/G/SPS/NCRI146.DOC</v>
      </c>
      <c r="M1780" s="2" t="str">
        <f>HYPERLINK("https://docs.wto.org/imrd/directdoc.asp?DDFDocuments/v/G/SPS/NCRI146.DOC")</f>
        <v>https://docs.wto.org/imrd/directdoc.asp?DDFDocuments/v/G/SPS/NCRI146.DOC</v>
      </c>
      <c r="N1780" s="2" t="str">
        <f>HYPERLINK("http://www.epingalert.org/#/details/G/SPS/N/CRI/146")</f>
        <v>http://www.epingalert.org/#/details/G/SPS/N/CRI/146</v>
      </c>
      <c r="O1780" s="2"/>
    </row>
    <row r="1781" spans="1:15" ht="240" customHeight="1" outlineLevel="1" x14ac:dyDescent="0.25">
      <c r="A1781" s="2" t="s">
        <v>12</v>
      </c>
      <c r="B1781" s="2" t="s">
        <v>6236</v>
      </c>
      <c r="C1781" s="2"/>
      <c r="D1781" s="2"/>
      <c r="E1781" s="3">
        <v>41709</v>
      </c>
      <c r="F1781" s="2" t="s">
        <v>2451</v>
      </c>
      <c r="G1781" s="2"/>
      <c r="H1781" s="2" t="s">
        <v>2573</v>
      </c>
      <c r="I1781" s="2" t="s">
        <v>2444</v>
      </c>
      <c r="J1781" s="2"/>
      <c r="K1781" s="2" t="str">
        <f>HYPERLINK("https://docs.wto.org/imrd/directdoc.asp?DDFDocuments/t/G/SPS/NEU47A1.DOC")</f>
        <v>https://docs.wto.org/imrd/directdoc.asp?DDFDocuments/t/G/SPS/NEU47A1.DOC</v>
      </c>
      <c r="L1781" s="2" t="str">
        <f>HYPERLINK("https://docs.wto.org/imrd/directdoc.asp?DDFDocuments/u/G/SPS/NEU47A1.DOC")</f>
        <v>https://docs.wto.org/imrd/directdoc.asp?DDFDocuments/u/G/SPS/NEU47A1.DOC</v>
      </c>
      <c r="M1781" s="2" t="str">
        <f>HYPERLINK("https://docs.wto.org/imrd/directdoc.asp?DDFDocuments/v/G/SPS/NEU47A1.DOC")</f>
        <v>https://docs.wto.org/imrd/directdoc.asp?DDFDocuments/v/G/SPS/NEU47A1.DOC</v>
      </c>
      <c r="N1781" s="2" t="str">
        <f>HYPERLINK("http://www.epingalert.org/#/details/G/SPS/N/EU/47/Add.1")</f>
        <v>http://www.epingalert.org/#/details/G/SPS/N/EU/47/Add.1</v>
      </c>
      <c r="O1781" s="2"/>
    </row>
    <row r="1782" spans="1:15" ht="240" customHeight="1" outlineLevel="1" x14ac:dyDescent="0.25">
      <c r="A1782" s="2" t="s">
        <v>12</v>
      </c>
      <c r="B1782" s="2" t="s">
        <v>8615</v>
      </c>
      <c r="C1782" s="2"/>
      <c r="D1782" s="2"/>
      <c r="E1782" s="3">
        <v>41709</v>
      </c>
      <c r="F1782" s="2" t="s">
        <v>8616</v>
      </c>
      <c r="G1782" s="2" t="s">
        <v>2381</v>
      </c>
      <c r="H1782" s="2" t="s">
        <v>2654</v>
      </c>
      <c r="I1782" s="2" t="s">
        <v>2444</v>
      </c>
      <c r="J1782" s="2"/>
      <c r="K1782" s="2" t="str">
        <f>HYPERLINK("https://docs.wto.org/imrd/directdoc.asp?DDFDocuments/t/G/SPS/NEU59A1.DOC")</f>
        <v>https://docs.wto.org/imrd/directdoc.asp?DDFDocuments/t/G/SPS/NEU59A1.DOC</v>
      </c>
      <c r="L1782" s="2" t="str">
        <f>HYPERLINK("https://docs.wto.org/imrd/directdoc.asp?DDFDocuments/u/G/SPS/NEU59A1.DOC")</f>
        <v>https://docs.wto.org/imrd/directdoc.asp?DDFDocuments/u/G/SPS/NEU59A1.DOC</v>
      </c>
      <c r="M1782" s="2" t="str">
        <f>HYPERLINK("https://docs.wto.org/imrd/directdoc.asp?DDFDocuments/v/G/SPS/NEU59A1.DOC")</f>
        <v>https://docs.wto.org/imrd/directdoc.asp?DDFDocuments/v/G/SPS/NEU59A1.DOC</v>
      </c>
      <c r="N1782" s="2" t="str">
        <f>HYPERLINK("http://www.epingalert.org/#/details/G/SPS/N/EU/59/Add.1")</f>
        <v>http://www.epingalert.org/#/details/G/SPS/N/EU/59/Add.1</v>
      </c>
      <c r="O1782" s="2"/>
    </row>
    <row r="1783" spans="1:15" ht="240" customHeight="1" outlineLevel="1" x14ac:dyDescent="0.25">
      <c r="A1783" s="2" t="s">
        <v>380</v>
      </c>
      <c r="B1783" s="2" t="s">
        <v>6251</v>
      </c>
      <c r="C1783" s="2" t="s">
        <v>6252</v>
      </c>
      <c r="D1783" s="2" t="s">
        <v>6253</v>
      </c>
      <c r="E1783" s="3">
        <v>41708</v>
      </c>
      <c r="F1783" s="2" t="s">
        <v>210</v>
      </c>
      <c r="G1783" s="2"/>
      <c r="H1783" s="2" t="s">
        <v>2573</v>
      </c>
      <c r="I1783" s="2" t="s">
        <v>2453</v>
      </c>
      <c r="J1783" s="3">
        <v>41768</v>
      </c>
      <c r="K1783" s="2" t="str">
        <f>HYPERLINK("https://docs.wto.org/imrd/directdoc.asp?DDFDocuments/t/G/SPS/NCHN635.DOC")</f>
        <v>https://docs.wto.org/imrd/directdoc.asp?DDFDocuments/t/G/SPS/NCHN635.DOC</v>
      </c>
      <c r="L1783" s="2" t="str">
        <f>HYPERLINK("https://docs.wto.org/imrd/directdoc.asp?DDFDocuments/u/G/SPS/NCHN635.DOC")</f>
        <v>https://docs.wto.org/imrd/directdoc.asp?DDFDocuments/u/G/SPS/NCHN635.DOC</v>
      </c>
      <c r="M1783" s="2" t="str">
        <f>HYPERLINK("https://docs.wto.org/imrd/directdoc.asp?DDFDocuments/v/G/SPS/NCHN635.DOC")</f>
        <v>https://docs.wto.org/imrd/directdoc.asp?DDFDocuments/v/G/SPS/NCHN635.DOC</v>
      </c>
      <c r="N1783" s="2" t="str">
        <f>HYPERLINK("http://www.epingalert.org/#/details/G/SPS/N/CHN/635")</f>
        <v>http://www.epingalert.org/#/details/G/SPS/N/CHN/635</v>
      </c>
      <c r="O1783" s="2"/>
    </row>
    <row r="1784" spans="1:15" ht="240" customHeight="1" outlineLevel="1" x14ac:dyDescent="0.25">
      <c r="A1784" s="2" t="s">
        <v>37</v>
      </c>
      <c r="B1784" s="2" t="s">
        <v>8648</v>
      </c>
      <c r="C1784" s="2" t="s">
        <v>8649</v>
      </c>
      <c r="D1784" s="2" t="s">
        <v>8650</v>
      </c>
      <c r="E1784" s="3">
        <v>41708</v>
      </c>
      <c r="F1784" s="2" t="s">
        <v>1850</v>
      </c>
      <c r="G1784" s="2" t="s">
        <v>1851</v>
      </c>
      <c r="H1784" s="2" t="s">
        <v>2573</v>
      </c>
      <c r="I1784" s="2" t="s">
        <v>2461</v>
      </c>
      <c r="J1784" s="3">
        <v>41768</v>
      </c>
      <c r="K1784" s="2" t="str">
        <f>HYPERLINK("https://docs.wto.org/imrd/directdoc.asp?DDFDocuments/t/G/SPS/NTUR42.DOC")</f>
        <v>https://docs.wto.org/imrd/directdoc.asp?DDFDocuments/t/G/SPS/NTUR42.DOC</v>
      </c>
      <c r="L1784" s="2" t="str">
        <f>HYPERLINK("https://docs.wto.org/imrd/directdoc.asp?DDFDocuments/u/G/SPS/NTUR42.DOC")</f>
        <v>https://docs.wto.org/imrd/directdoc.asp?DDFDocuments/u/G/SPS/NTUR42.DOC</v>
      </c>
      <c r="M1784" s="2" t="str">
        <f>HYPERLINK("https://docs.wto.org/imrd/directdoc.asp?DDFDocuments/v/G/SPS/NTUR42.DOC")</f>
        <v>https://docs.wto.org/imrd/directdoc.asp?DDFDocuments/v/G/SPS/NTUR42.DOC</v>
      </c>
      <c r="N1784" s="2" t="str">
        <f>HYPERLINK("http://www.epingalert.org/#/details/G/SPS/N/TUR/42")</f>
        <v>http://www.epingalert.org/#/details/G/SPS/N/TUR/42</v>
      </c>
      <c r="O1784" s="2"/>
    </row>
    <row r="1785" spans="1:15" ht="240" customHeight="1" outlineLevel="1" x14ac:dyDescent="0.25">
      <c r="A1785" s="2" t="s">
        <v>167</v>
      </c>
      <c r="B1785" s="2" t="s">
        <v>8655</v>
      </c>
      <c r="C1785" s="2" t="s">
        <v>8621</v>
      </c>
      <c r="D1785" s="2" t="s">
        <v>8656</v>
      </c>
      <c r="E1785" s="3">
        <v>41708</v>
      </c>
      <c r="F1785" s="2" t="s">
        <v>8614</v>
      </c>
      <c r="G1785" s="2" t="s">
        <v>2381</v>
      </c>
      <c r="H1785" s="2" t="s">
        <v>2573</v>
      </c>
      <c r="I1785" s="2" t="s">
        <v>2461</v>
      </c>
      <c r="J1785" s="3">
        <v>41768</v>
      </c>
      <c r="K1785" s="2" t="str">
        <f>HYPERLINK("https://docs.wto.org/imrd/directdoc.asp?DDFDocuments/t/G/SPS/NNIC84.DOC")</f>
        <v>https://docs.wto.org/imrd/directdoc.asp?DDFDocuments/t/G/SPS/NNIC84.DOC</v>
      </c>
      <c r="L1785" s="2" t="str">
        <f>HYPERLINK("https://docs.wto.org/imrd/directdoc.asp?DDFDocuments/u/G/SPS/NNIC84.DOC")</f>
        <v>https://docs.wto.org/imrd/directdoc.asp?DDFDocuments/u/G/SPS/NNIC84.DOC</v>
      </c>
      <c r="M1785" s="2" t="str">
        <f>HYPERLINK("https://docs.wto.org/imrd/directdoc.asp?DDFDocuments/v/G/SPS/NNIC84.DOC")</f>
        <v>https://docs.wto.org/imrd/directdoc.asp?DDFDocuments/v/G/SPS/NNIC84.DOC</v>
      </c>
      <c r="N1785" s="2" t="str">
        <f>HYPERLINK("http://www.epingalert.org/#/details/G/SPS/N/NIC/84")</f>
        <v>http://www.epingalert.org/#/details/G/SPS/N/NIC/84</v>
      </c>
      <c r="O1785" s="2"/>
    </row>
    <row r="1786" spans="1:15" ht="240" customHeight="1" outlineLevel="1" x14ac:dyDescent="0.25">
      <c r="A1786" s="2" t="s">
        <v>167</v>
      </c>
      <c r="B1786" s="2" t="s">
        <v>8657</v>
      </c>
      <c r="C1786" s="2" t="s">
        <v>8612</v>
      </c>
      <c r="D1786" s="2" t="s">
        <v>8658</v>
      </c>
      <c r="E1786" s="3">
        <v>41708</v>
      </c>
      <c r="F1786" s="2" t="s">
        <v>8614</v>
      </c>
      <c r="G1786" s="2" t="s">
        <v>2248</v>
      </c>
      <c r="H1786" s="2" t="s">
        <v>2573</v>
      </c>
      <c r="I1786" s="2" t="s">
        <v>2461</v>
      </c>
      <c r="J1786" s="3">
        <v>41768</v>
      </c>
      <c r="K1786" s="2" t="str">
        <f>HYPERLINK("https://docs.wto.org/imrd/directdoc.asp?DDFDocuments/t/G/SPS/NNIC83.DOC")</f>
        <v>https://docs.wto.org/imrd/directdoc.asp?DDFDocuments/t/G/SPS/NNIC83.DOC</v>
      </c>
      <c r="L1786" s="2" t="str">
        <f>HYPERLINK("https://docs.wto.org/imrd/directdoc.asp?DDFDocuments/u/G/SPS/NNIC83.DOC")</f>
        <v>https://docs.wto.org/imrd/directdoc.asp?DDFDocuments/u/G/SPS/NNIC83.DOC</v>
      </c>
      <c r="M1786" s="2" t="str">
        <f>HYPERLINK("https://docs.wto.org/imrd/directdoc.asp?DDFDocuments/v/G/SPS/NNIC83.DOC")</f>
        <v>https://docs.wto.org/imrd/directdoc.asp?DDFDocuments/v/G/SPS/NNIC83.DOC</v>
      </c>
      <c r="N1786" s="2" t="str">
        <f>HYPERLINK("http://www.epingalert.org/#/details/G/SPS/N/NIC/83")</f>
        <v>http://www.epingalert.org/#/details/G/SPS/N/NIC/83</v>
      </c>
      <c r="O1786" s="2"/>
    </row>
    <row r="1787" spans="1:15" ht="240" customHeight="1" outlineLevel="1" x14ac:dyDescent="0.25">
      <c r="A1787" s="2" t="s">
        <v>444</v>
      </c>
      <c r="B1787" s="2" t="s">
        <v>8659</v>
      </c>
      <c r="C1787" s="2" t="s">
        <v>8660</v>
      </c>
      <c r="D1787" s="2" t="s">
        <v>8661</v>
      </c>
      <c r="E1787" s="3">
        <v>41708</v>
      </c>
      <c r="F1787" s="2" t="s">
        <v>8662</v>
      </c>
      <c r="G1787" s="2" t="s">
        <v>8663</v>
      </c>
      <c r="H1787" s="2" t="s">
        <v>6741</v>
      </c>
      <c r="I1787" s="2" t="s">
        <v>6742</v>
      </c>
      <c r="J1787" s="3">
        <v>41768</v>
      </c>
      <c r="K1787" s="2" t="str">
        <f>HYPERLINK("https://docs.wto.org/imrd/directdoc.asp?DDFDocuments/t/G/SPS/NMYS27.DOC")</f>
        <v>https://docs.wto.org/imrd/directdoc.asp?DDFDocuments/t/G/SPS/NMYS27.DOC</v>
      </c>
      <c r="L1787" s="2" t="str">
        <f>HYPERLINK("https://docs.wto.org/imrd/directdoc.asp?DDFDocuments/u/G/SPS/NMYS27.DOC")</f>
        <v>https://docs.wto.org/imrd/directdoc.asp?DDFDocuments/u/G/SPS/NMYS27.DOC</v>
      </c>
      <c r="M1787" s="2" t="str">
        <f>HYPERLINK("https://docs.wto.org/imrd/directdoc.asp?DDFDocuments/v/G/SPS/NMYS27.DOC")</f>
        <v>https://docs.wto.org/imrd/directdoc.asp?DDFDocuments/v/G/SPS/NMYS27.DOC</v>
      </c>
      <c r="N1787" s="2" t="str">
        <f>HYPERLINK("http://www.epingalert.org/#/details/G/SPS/N/MYS/27")</f>
        <v>http://www.epingalert.org/#/details/G/SPS/N/MYS/27</v>
      </c>
      <c r="O1787" s="2"/>
    </row>
    <row r="1788" spans="1:15" ht="240" customHeight="1" outlineLevel="1" x14ac:dyDescent="0.25">
      <c r="A1788" s="2" t="s">
        <v>128</v>
      </c>
      <c r="B1788" s="2" t="s">
        <v>8651</v>
      </c>
      <c r="C1788" s="2" t="s">
        <v>8652</v>
      </c>
      <c r="D1788" s="2" t="s">
        <v>8653</v>
      </c>
      <c r="E1788" s="3">
        <v>41708</v>
      </c>
      <c r="F1788" s="2" t="s">
        <v>8654</v>
      </c>
      <c r="G1788" s="2" t="s">
        <v>2923</v>
      </c>
      <c r="H1788" s="2" t="s">
        <v>6741</v>
      </c>
      <c r="I1788" s="2" t="s">
        <v>6887</v>
      </c>
      <c r="J1788" s="2"/>
      <c r="K1788" s="2" t="str">
        <f>HYPERLINK("https://docs.wto.org/imrd/directdoc.asp?DDFDocuments/t/G/SPS/NPER517.DOC")</f>
        <v>https://docs.wto.org/imrd/directdoc.asp?DDFDocuments/t/G/SPS/NPER517.DOC</v>
      </c>
      <c r="L1788" s="2" t="str">
        <f>HYPERLINK("https://docs.wto.org/imrd/directdoc.asp?DDFDocuments/u/G/SPS/NPER517.DOC")</f>
        <v>https://docs.wto.org/imrd/directdoc.asp?DDFDocuments/u/G/SPS/NPER517.DOC</v>
      </c>
      <c r="M1788" s="2" t="str">
        <f>HYPERLINK("https://docs.wto.org/imrd/directdoc.asp?DDFDocuments/v/G/SPS/NPER517.DOC")</f>
        <v>https://docs.wto.org/imrd/directdoc.asp?DDFDocuments/v/G/SPS/NPER517.DOC</v>
      </c>
      <c r="N1788" s="2" t="str">
        <f>HYPERLINK("http://www.epingalert.org/#/details/G/SPS/N/PER/517")</f>
        <v>http://www.epingalert.org/#/details/G/SPS/N/PER/517</v>
      </c>
      <c r="O1788" s="2"/>
    </row>
    <row r="1789" spans="1:15" ht="240" customHeight="1" outlineLevel="1" x14ac:dyDescent="0.25">
      <c r="A1789" s="2" t="s">
        <v>173</v>
      </c>
      <c r="B1789" s="2" t="s">
        <v>6254</v>
      </c>
      <c r="C1789" s="2" t="s">
        <v>6255</v>
      </c>
      <c r="D1789" s="2" t="s">
        <v>851</v>
      </c>
      <c r="E1789" s="3">
        <v>41702</v>
      </c>
      <c r="F1789" s="2" t="s">
        <v>6256</v>
      </c>
      <c r="G1789" s="2"/>
      <c r="H1789" s="2" t="s">
        <v>2573</v>
      </c>
      <c r="I1789" s="2" t="s">
        <v>2426</v>
      </c>
      <c r="J1789" s="3">
        <v>41762</v>
      </c>
      <c r="K1789" s="2" t="str">
        <f>HYPERLINK("https://docs.wto.org/imrd/directdoc.asp?DDFDocuments/t/G/SPS/NSAU96.DOC")</f>
        <v>https://docs.wto.org/imrd/directdoc.asp?DDFDocuments/t/G/SPS/NSAU96.DOC</v>
      </c>
      <c r="L1789" s="2" t="str">
        <f>HYPERLINK("https://docs.wto.org/imrd/directdoc.asp?DDFDocuments/u/G/SPS/NSAU96.DOC")</f>
        <v>https://docs.wto.org/imrd/directdoc.asp?DDFDocuments/u/G/SPS/NSAU96.DOC</v>
      </c>
      <c r="M1789" s="2" t="str">
        <f>HYPERLINK("https://docs.wto.org/imrd/directdoc.asp?DDFDocuments/v/G/SPS/NSAU96.DOC")</f>
        <v>https://docs.wto.org/imrd/directdoc.asp?DDFDocuments/v/G/SPS/NSAU96.DOC</v>
      </c>
      <c r="N1789" s="2" t="str">
        <f>HYPERLINK("http://www.epingalert.org/#/details/G/SPS/N/SAU/96")</f>
        <v>http://www.epingalert.org/#/details/G/SPS/N/SAU/96</v>
      </c>
      <c r="O1789" s="2"/>
    </row>
    <row r="1790" spans="1:15" ht="240" customHeight="1" outlineLevel="1" x14ac:dyDescent="0.25">
      <c r="A1790" s="2" t="s">
        <v>25</v>
      </c>
      <c r="B1790" s="2" t="s">
        <v>6261</v>
      </c>
      <c r="C1790" s="2" t="s">
        <v>6262</v>
      </c>
      <c r="D1790" s="2" t="s">
        <v>6263</v>
      </c>
      <c r="E1790" s="3">
        <v>41698</v>
      </c>
      <c r="F1790" s="2" t="s">
        <v>6264</v>
      </c>
      <c r="G1790" s="2"/>
      <c r="H1790" s="2" t="s">
        <v>2573</v>
      </c>
      <c r="I1790" s="2" t="s">
        <v>2461</v>
      </c>
      <c r="J1790" s="3">
        <v>41758</v>
      </c>
      <c r="K1790" s="2" t="str">
        <f>HYPERLINK("https://docs.wto.org/imrd/directdoc.asp?DDFDocuments/t/G/SPS/NKOR469.DOC")</f>
        <v>https://docs.wto.org/imrd/directdoc.asp?DDFDocuments/t/G/SPS/NKOR469.DOC</v>
      </c>
      <c r="L1790" s="2" t="str">
        <f>HYPERLINK("https://docs.wto.org/imrd/directdoc.asp?DDFDocuments/u/G/SPS/NKOR469.DOC")</f>
        <v>https://docs.wto.org/imrd/directdoc.asp?DDFDocuments/u/G/SPS/NKOR469.DOC</v>
      </c>
      <c r="M1790" s="2" t="str">
        <f>HYPERLINK("https://docs.wto.org/imrd/directdoc.asp?DDFDocuments/v/G/SPS/NKOR469.DOC")</f>
        <v>https://docs.wto.org/imrd/directdoc.asp?DDFDocuments/v/G/SPS/NKOR469.DOC</v>
      </c>
      <c r="N1790" s="2" t="str">
        <f>HYPERLINK("http://www.epingalert.org/#/details/G/SPS/N/KOR/469")</f>
        <v>http://www.epingalert.org/#/details/G/SPS/N/KOR/469</v>
      </c>
      <c r="O1790" s="2"/>
    </row>
    <row r="1791" spans="1:15" ht="240" customHeight="1" outlineLevel="1" x14ac:dyDescent="0.25">
      <c r="A1791" s="2" t="s">
        <v>25</v>
      </c>
      <c r="B1791" s="2" t="s">
        <v>8664</v>
      </c>
      <c r="C1791" s="2" t="s">
        <v>5705</v>
      </c>
      <c r="D1791" s="2" t="s">
        <v>8665</v>
      </c>
      <c r="E1791" s="3">
        <v>41698</v>
      </c>
      <c r="F1791" s="2" t="s">
        <v>5707</v>
      </c>
      <c r="G1791" s="2" t="s">
        <v>8666</v>
      </c>
      <c r="H1791" s="2" t="s">
        <v>2573</v>
      </c>
      <c r="I1791" s="2" t="s">
        <v>2548</v>
      </c>
      <c r="J1791" s="3">
        <v>41758</v>
      </c>
      <c r="K1791" s="2" t="str">
        <f>HYPERLINK("https://docs.wto.org/imrd/directdoc.asp?DDFDocuments/t/G/SPS/NKOR470.DOC")</f>
        <v>https://docs.wto.org/imrd/directdoc.asp?DDFDocuments/t/G/SPS/NKOR470.DOC</v>
      </c>
      <c r="L1791" s="2" t="str">
        <f>HYPERLINK("https://docs.wto.org/imrd/directdoc.asp?DDFDocuments/u/G/SPS/NKOR470.DOC")</f>
        <v>https://docs.wto.org/imrd/directdoc.asp?DDFDocuments/u/G/SPS/NKOR470.DOC</v>
      </c>
      <c r="M1791" s="2" t="str">
        <f>HYPERLINK("https://docs.wto.org/imrd/directdoc.asp?DDFDocuments/v/G/SPS/NKOR470.DOC")</f>
        <v>https://docs.wto.org/imrd/directdoc.asp?DDFDocuments/v/G/SPS/NKOR470.DOC</v>
      </c>
      <c r="N1791" s="2" t="str">
        <f>HYPERLINK("http://www.epingalert.org/#/details/G/SPS/N/KOR/470")</f>
        <v>http://www.epingalert.org/#/details/G/SPS/N/KOR/470</v>
      </c>
      <c r="O1791" s="2"/>
    </row>
    <row r="1792" spans="1:15" ht="240" customHeight="1" outlineLevel="1" x14ac:dyDescent="0.25">
      <c r="A1792" s="2" t="s">
        <v>8396</v>
      </c>
      <c r="B1792" s="2" t="s">
        <v>8667</v>
      </c>
      <c r="C1792" s="2" t="s">
        <v>8668</v>
      </c>
      <c r="D1792" s="2" t="s">
        <v>8669</v>
      </c>
      <c r="E1792" s="3">
        <v>41698</v>
      </c>
      <c r="F1792" s="2" t="s">
        <v>8614</v>
      </c>
      <c r="G1792" s="2" t="s">
        <v>2381</v>
      </c>
      <c r="H1792" s="2" t="s">
        <v>2573</v>
      </c>
      <c r="I1792" s="2" t="s">
        <v>2461</v>
      </c>
      <c r="J1792" s="3">
        <v>41758</v>
      </c>
      <c r="K1792" s="2" t="str">
        <f>HYPERLINK("https://docs.wto.org/imrd/directdoc.asp?DDFDocuments/t/G/SPS/NHND51.DOC")</f>
        <v>https://docs.wto.org/imrd/directdoc.asp?DDFDocuments/t/G/SPS/NHND51.DOC</v>
      </c>
      <c r="L1792" s="2" t="str">
        <f>HYPERLINK("https://docs.wto.org/imrd/directdoc.asp?DDFDocuments/u/G/SPS/NHND51.DOC")</f>
        <v>https://docs.wto.org/imrd/directdoc.asp?DDFDocuments/u/G/SPS/NHND51.DOC</v>
      </c>
      <c r="M1792" s="2" t="str">
        <f>HYPERLINK("https://docs.wto.org/imrd/directdoc.asp?DDFDocuments/v/G/SPS/NHND51.DOC")</f>
        <v>https://docs.wto.org/imrd/directdoc.asp?DDFDocuments/v/G/SPS/NHND51.DOC</v>
      </c>
      <c r="N1792" s="2" t="str">
        <f>HYPERLINK("http://www.epingalert.org/#/details/G/SPS/N/HND/51")</f>
        <v>http://www.epingalert.org/#/details/G/SPS/N/HND/51</v>
      </c>
      <c r="O1792" s="2"/>
    </row>
    <row r="1793" spans="1:15" ht="240" customHeight="1" outlineLevel="1" x14ac:dyDescent="0.25">
      <c r="A1793" s="2" t="s">
        <v>8396</v>
      </c>
      <c r="B1793" s="2" t="s">
        <v>8670</v>
      </c>
      <c r="C1793" s="2" t="s">
        <v>8671</v>
      </c>
      <c r="D1793" s="2" t="s">
        <v>8672</v>
      </c>
      <c r="E1793" s="3">
        <v>41698</v>
      </c>
      <c r="F1793" s="2" t="s">
        <v>8614</v>
      </c>
      <c r="G1793" s="2" t="s">
        <v>2248</v>
      </c>
      <c r="H1793" s="2" t="s">
        <v>2573</v>
      </c>
      <c r="I1793" s="2" t="s">
        <v>2461</v>
      </c>
      <c r="J1793" s="3">
        <v>41758</v>
      </c>
      <c r="K1793" s="2" t="str">
        <f>HYPERLINK("https://docs.wto.org/imrd/directdoc.asp?DDFDocuments/t/G/SPS/NHND50.DOC")</f>
        <v>https://docs.wto.org/imrd/directdoc.asp?DDFDocuments/t/G/SPS/NHND50.DOC</v>
      </c>
      <c r="L1793" s="2" t="str">
        <f>HYPERLINK("https://docs.wto.org/imrd/directdoc.asp?DDFDocuments/u/G/SPS/NHND50.DOC")</f>
        <v>https://docs.wto.org/imrd/directdoc.asp?DDFDocuments/u/G/SPS/NHND50.DOC</v>
      </c>
      <c r="M1793" s="2" t="str">
        <f>HYPERLINK("https://docs.wto.org/imrd/directdoc.asp?DDFDocuments/v/G/SPS/NHND50.DOC")</f>
        <v>https://docs.wto.org/imrd/directdoc.asp?DDFDocuments/v/G/SPS/NHND50.DOC</v>
      </c>
      <c r="N1793" s="2" t="str">
        <f>HYPERLINK("http://www.epingalert.org/#/details/G/SPS/N/HND/50")</f>
        <v>http://www.epingalert.org/#/details/G/SPS/N/HND/50</v>
      </c>
      <c r="O1793" s="2"/>
    </row>
    <row r="1794" spans="1:15" ht="240" customHeight="1" outlineLevel="1" x14ac:dyDescent="0.25">
      <c r="A1794" s="2" t="s">
        <v>12</v>
      </c>
      <c r="B1794" s="2" t="s">
        <v>6257</v>
      </c>
      <c r="C1794" s="2"/>
      <c r="D1794" s="2"/>
      <c r="E1794" s="3">
        <v>41698</v>
      </c>
      <c r="F1794" s="2" t="s">
        <v>2451</v>
      </c>
      <c r="G1794" s="2"/>
      <c r="H1794" s="2" t="s">
        <v>2573</v>
      </c>
      <c r="I1794" s="2" t="s">
        <v>2784</v>
      </c>
      <c r="J1794" s="2"/>
      <c r="K1794" s="2" t="str">
        <f>HYPERLINK("https://docs.wto.org/imrd/directdoc.asp?DDFDocuments/t/G/SPS/NEU10A1.DOC")</f>
        <v>https://docs.wto.org/imrd/directdoc.asp?DDFDocuments/t/G/SPS/NEU10A1.DOC</v>
      </c>
      <c r="L1794" s="2" t="str">
        <f>HYPERLINK("https://docs.wto.org/imrd/directdoc.asp?DDFDocuments/u/G/SPS/NEU10A1.DOC")</f>
        <v>https://docs.wto.org/imrd/directdoc.asp?DDFDocuments/u/G/SPS/NEU10A1.DOC</v>
      </c>
      <c r="M1794" s="2" t="str">
        <f>HYPERLINK("https://docs.wto.org/imrd/directdoc.asp?DDFDocuments/v/G/SPS/NEU10A1.DOC")</f>
        <v>https://docs.wto.org/imrd/directdoc.asp?DDFDocuments/v/G/SPS/NEU10A1.DOC</v>
      </c>
      <c r="N1794" s="2" t="str">
        <f>HYPERLINK("http://www.epingalert.org/#/details/G/SPS/N/EU/10/Add.1")</f>
        <v>http://www.epingalert.org/#/details/G/SPS/N/EU/10/Add.1</v>
      </c>
      <c r="O1794" s="2"/>
    </row>
    <row r="1795" spans="1:15" ht="240" customHeight="1" outlineLevel="1" x14ac:dyDescent="0.25">
      <c r="A1795" s="2" t="s">
        <v>12</v>
      </c>
      <c r="B1795" s="2" t="s">
        <v>6258</v>
      </c>
      <c r="C1795" s="2"/>
      <c r="D1795" s="2"/>
      <c r="E1795" s="3">
        <v>41698</v>
      </c>
      <c r="F1795" s="2" t="s">
        <v>2451</v>
      </c>
      <c r="G1795" s="2"/>
      <c r="H1795" s="2" t="s">
        <v>2573</v>
      </c>
      <c r="I1795" s="2" t="s">
        <v>2444</v>
      </c>
      <c r="J1795" s="2"/>
      <c r="K1795" s="2" t="str">
        <f>HYPERLINK("https://docs.wto.org/imrd/directdoc.asp?DDFDocuments/t/G/SPS/NEU7A1.DOC")</f>
        <v>https://docs.wto.org/imrd/directdoc.asp?DDFDocuments/t/G/SPS/NEU7A1.DOC</v>
      </c>
      <c r="L1795" s="2" t="str">
        <f>HYPERLINK("https://docs.wto.org/imrd/directdoc.asp?DDFDocuments/u/G/SPS/NEU7A1.DOC")</f>
        <v>https://docs.wto.org/imrd/directdoc.asp?DDFDocuments/u/G/SPS/NEU7A1.DOC</v>
      </c>
      <c r="M1795" s="2" t="str">
        <f>HYPERLINK("https://docs.wto.org/imrd/directdoc.asp?DDFDocuments/v/G/SPS/NEU7A1.DOC")</f>
        <v>https://docs.wto.org/imrd/directdoc.asp?DDFDocuments/v/G/SPS/NEU7A1.DOC</v>
      </c>
      <c r="N1795" s="2" t="str">
        <f>HYPERLINK("http://www.epingalert.org/#/details/G/SPS/N/EU/7/Add.1")</f>
        <v>http://www.epingalert.org/#/details/G/SPS/N/EU/7/Add.1</v>
      </c>
      <c r="O1795" s="2"/>
    </row>
    <row r="1796" spans="1:15" ht="240" customHeight="1" outlineLevel="1" x14ac:dyDescent="0.25">
      <c r="A1796" s="2" t="s">
        <v>12</v>
      </c>
      <c r="B1796" s="2" t="s">
        <v>6259</v>
      </c>
      <c r="C1796" s="2"/>
      <c r="D1796" s="2"/>
      <c r="E1796" s="3">
        <v>41698</v>
      </c>
      <c r="F1796" s="2" t="s">
        <v>2451</v>
      </c>
      <c r="G1796" s="2"/>
      <c r="H1796" s="2" t="s">
        <v>2573</v>
      </c>
      <c r="I1796" s="2" t="s">
        <v>2444</v>
      </c>
      <c r="J1796" s="2"/>
      <c r="K1796" s="2" t="str">
        <f>HYPERLINK("https://docs.wto.org/imrd/directdoc.asp?DDFDocuments/t/G/SPS/NEU9A1.DOC")</f>
        <v>https://docs.wto.org/imrd/directdoc.asp?DDFDocuments/t/G/SPS/NEU9A1.DOC</v>
      </c>
      <c r="L1796" s="2" t="str">
        <f>HYPERLINK("https://docs.wto.org/imrd/directdoc.asp?DDFDocuments/u/G/SPS/NEU9A1.DOC")</f>
        <v>https://docs.wto.org/imrd/directdoc.asp?DDFDocuments/u/G/SPS/NEU9A1.DOC</v>
      </c>
      <c r="M1796" s="2" t="str">
        <f>HYPERLINK("https://docs.wto.org/imrd/directdoc.asp?DDFDocuments/v/G/SPS/NEU9A1.DOC")</f>
        <v>https://docs.wto.org/imrd/directdoc.asp?DDFDocuments/v/G/SPS/NEU9A1.DOC</v>
      </c>
      <c r="N1796" s="2" t="str">
        <f>HYPERLINK("http://www.epingalert.org/#/details/G/SPS/N/EU/9/Add.1")</f>
        <v>http://www.epingalert.org/#/details/G/SPS/N/EU/9/Add.1</v>
      </c>
      <c r="O1796" s="2"/>
    </row>
    <row r="1797" spans="1:15" ht="240" customHeight="1" outlineLevel="1" x14ac:dyDescent="0.25">
      <c r="A1797" s="2" t="s">
        <v>12</v>
      </c>
      <c r="B1797" s="2" t="s">
        <v>6260</v>
      </c>
      <c r="C1797" s="2"/>
      <c r="D1797" s="2"/>
      <c r="E1797" s="3">
        <v>41698</v>
      </c>
      <c r="F1797" s="2" t="s">
        <v>2451</v>
      </c>
      <c r="G1797" s="2"/>
      <c r="H1797" s="2" t="s">
        <v>2573</v>
      </c>
      <c r="I1797" s="2" t="s">
        <v>2444</v>
      </c>
      <c r="J1797" s="2"/>
      <c r="K1797" s="2" t="str">
        <f>HYPERLINK("https://docs.wto.org/imrd/directdoc.asp?DDFDocuments/t/G/SPS/NEU8A1.DOC")</f>
        <v>https://docs.wto.org/imrd/directdoc.asp?DDFDocuments/t/G/SPS/NEU8A1.DOC</v>
      </c>
      <c r="L1797" s="2" t="str">
        <f>HYPERLINK("https://docs.wto.org/imrd/directdoc.asp?DDFDocuments/u/G/SPS/NEU8A1.DOC")</f>
        <v>https://docs.wto.org/imrd/directdoc.asp?DDFDocuments/u/G/SPS/NEU8A1.DOC</v>
      </c>
      <c r="M1797" s="2" t="str">
        <f>HYPERLINK("https://docs.wto.org/imrd/directdoc.asp?DDFDocuments/v/G/SPS/NEU8A1.DOC")</f>
        <v>https://docs.wto.org/imrd/directdoc.asp?DDFDocuments/v/G/SPS/NEU8A1.DOC</v>
      </c>
      <c r="N1797" s="2" t="str">
        <f>HYPERLINK("http://www.epingalert.org/#/details/G/SPS/N/EU/8/Add.1")</f>
        <v>http://www.epingalert.org/#/details/G/SPS/N/EU/8/Add.1</v>
      </c>
      <c r="O1797" s="2"/>
    </row>
    <row r="1798" spans="1:15" ht="240" customHeight="1" outlineLevel="1" x14ac:dyDescent="0.25">
      <c r="A1798" s="2" t="s">
        <v>167</v>
      </c>
      <c r="B1798" s="2" t="s">
        <v>8673</v>
      </c>
      <c r="C1798" s="2" t="s">
        <v>8674</v>
      </c>
      <c r="D1798" s="2" t="s">
        <v>8675</v>
      </c>
      <c r="E1798" s="3">
        <v>41697</v>
      </c>
      <c r="F1798" s="2" t="s">
        <v>8676</v>
      </c>
      <c r="G1798" s="2" t="s">
        <v>2035</v>
      </c>
      <c r="H1798" s="2" t="s">
        <v>7356</v>
      </c>
      <c r="I1798" s="2" t="s">
        <v>2461</v>
      </c>
      <c r="J1798" s="3">
        <v>41757</v>
      </c>
      <c r="K1798" s="2" t="str">
        <f>HYPERLINK("https://docs.wto.org/imrd/directdoc.asp?DDFDocuments/t/G/SPS/NNIC81.DOC")</f>
        <v>https://docs.wto.org/imrd/directdoc.asp?DDFDocuments/t/G/SPS/NNIC81.DOC</v>
      </c>
      <c r="L1798" s="2" t="str">
        <f>HYPERLINK("https://docs.wto.org/imrd/directdoc.asp?DDFDocuments/u/G/SPS/NNIC81.DOC")</f>
        <v>https://docs.wto.org/imrd/directdoc.asp?DDFDocuments/u/G/SPS/NNIC81.DOC</v>
      </c>
      <c r="M1798" s="2" t="str">
        <f>HYPERLINK("https://docs.wto.org/imrd/directdoc.asp?DDFDocuments/v/G/SPS/NNIC81.DOC")</f>
        <v>https://docs.wto.org/imrd/directdoc.asp?DDFDocuments/v/G/SPS/NNIC81.DOC</v>
      </c>
      <c r="N1798" s="2" t="str">
        <f>HYPERLINK("http://www.epingalert.org/#/details/G/SPS/N/NIC/81")</f>
        <v>http://www.epingalert.org/#/details/G/SPS/N/NIC/81</v>
      </c>
      <c r="O1798" s="2"/>
    </row>
    <row r="1799" spans="1:15" ht="240" customHeight="1" outlineLevel="1" x14ac:dyDescent="0.25">
      <c r="A1799" s="2" t="s">
        <v>77</v>
      </c>
      <c r="B1799" s="2" t="s">
        <v>6699</v>
      </c>
      <c r="C1799" s="2"/>
      <c r="D1799" s="2"/>
      <c r="E1799" s="3">
        <v>41697</v>
      </c>
      <c r="F1799" s="2" t="s">
        <v>6577</v>
      </c>
      <c r="G1799" s="2" t="s">
        <v>1646</v>
      </c>
      <c r="H1799" s="2" t="s">
        <v>2573</v>
      </c>
      <c r="I1799" s="2" t="s">
        <v>2444</v>
      </c>
      <c r="J1799" s="2"/>
      <c r="K1799" s="2" t="str">
        <f>HYPERLINK("https://docs.wto.org/imrd/directdoc.asp?DDFDocuments/t/G/SPS/NTPKM285A1.DOC")</f>
        <v>https://docs.wto.org/imrd/directdoc.asp?DDFDocuments/t/G/SPS/NTPKM285A1.DOC</v>
      </c>
      <c r="L1799" s="2" t="str">
        <f>HYPERLINK("https://docs.wto.org/imrd/directdoc.asp?DDFDocuments/u/G/SPS/NTPKM285A1.DOC")</f>
        <v>https://docs.wto.org/imrd/directdoc.asp?DDFDocuments/u/G/SPS/NTPKM285A1.DOC</v>
      </c>
      <c r="M1799" s="2" t="str">
        <f>HYPERLINK("https://docs.wto.org/imrd/directdoc.asp?DDFDocuments/v/G/SPS/NTPKM285A1.DOC")</f>
        <v>https://docs.wto.org/imrd/directdoc.asp?DDFDocuments/v/G/SPS/NTPKM285A1.DOC</v>
      </c>
      <c r="N1799" s="2" t="str">
        <f>HYPERLINK("http://www.epingalert.org/#/details/G/SPS/N/TPKM/285/Add.1")</f>
        <v>http://www.epingalert.org/#/details/G/SPS/N/TPKM/285/Add.1</v>
      </c>
      <c r="O1799" s="2"/>
    </row>
    <row r="1800" spans="1:15" ht="240" customHeight="1" outlineLevel="1" x14ac:dyDescent="0.25">
      <c r="A1800" s="2" t="s">
        <v>170</v>
      </c>
      <c r="B1800" s="2" t="s">
        <v>8677</v>
      </c>
      <c r="C1800" s="2" t="s">
        <v>8678</v>
      </c>
      <c r="D1800" s="2" t="s">
        <v>8679</v>
      </c>
      <c r="E1800" s="3">
        <v>41696</v>
      </c>
      <c r="F1800" s="2" t="s">
        <v>8680</v>
      </c>
      <c r="G1800" s="2" t="s">
        <v>2381</v>
      </c>
      <c r="H1800" s="2" t="s">
        <v>2573</v>
      </c>
      <c r="I1800" s="2" t="s">
        <v>2461</v>
      </c>
      <c r="J1800" s="3">
        <v>41756</v>
      </c>
      <c r="K1800" s="2" t="str">
        <f>HYPERLINK("https://docs.wto.org/imrd/directdoc.asp?DDFDocuments/t/G/SPS/NSLV113.DOC")</f>
        <v>https://docs.wto.org/imrd/directdoc.asp?DDFDocuments/t/G/SPS/NSLV113.DOC</v>
      </c>
      <c r="L1800" s="2" t="str">
        <f>HYPERLINK("https://docs.wto.org/imrd/directdoc.asp?DDFDocuments/u/G/SPS/NSLV113.DOC")</f>
        <v>https://docs.wto.org/imrd/directdoc.asp?DDFDocuments/u/G/SPS/NSLV113.DOC</v>
      </c>
      <c r="M1800" s="2" t="str">
        <f>HYPERLINK("https://docs.wto.org/imrd/directdoc.asp?DDFDocuments/v/G/SPS/NSLV113.DOC")</f>
        <v>https://docs.wto.org/imrd/directdoc.asp?DDFDocuments/v/G/SPS/NSLV113.DOC</v>
      </c>
      <c r="N1800" s="2" t="str">
        <f>HYPERLINK("http://www.epingalert.org/#/details/G/SPS/N/SLV/113")</f>
        <v>http://www.epingalert.org/#/details/G/SPS/N/SLV/113</v>
      </c>
      <c r="O1800" s="2"/>
    </row>
    <row r="1801" spans="1:15" ht="240" customHeight="1" outlineLevel="1" x14ac:dyDescent="0.25">
      <c r="A1801" s="2" t="s">
        <v>18</v>
      </c>
      <c r="B1801" s="2" t="s">
        <v>6265</v>
      </c>
      <c r="C1801" s="2"/>
      <c r="D1801" s="2"/>
      <c r="E1801" s="3">
        <v>41696</v>
      </c>
      <c r="F1801" s="2" t="s">
        <v>3593</v>
      </c>
      <c r="G1801" s="2" t="s">
        <v>6266</v>
      </c>
      <c r="H1801" s="2" t="s">
        <v>2648</v>
      </c>
      <c r="I1801" s="2" t="s">
        <v>2672</v>
      </c>
      <c r="J1801" s="3">
        <v>41729</v>
      </c>
      <c r="K1801" s="2" t="str">
        <f>HYPERLINK("https://docs.wto.org/imrd/directdoc.asp?DDFDocuments/t/G/SPS/NUSA2593A1.DOC")</f>
        <v>https://docs.wto.org/imrd/directdoc.asp?DDFDocuments/t/G/SPS/NUSA2593A1.DOC</v>
      </c>
      <c r="L1801" s="2" t="str">
        <f>HYPERLINK("https://docs.wto.org/imrd/directdoc.asp?DDFDocuments/u/G/SPS/NUSA2593A1.DOC")</f>
        <v>https://docs.wto.org/imrd/directdoc.asp?DDFDocuments/u/G/SPS/NUSA2593A1.DOC</v>
      </c>
      <c r="M1801" s="2" t="str">
        <f>HYPERLINK("https://docs.wto.org/imrd/directdoc.asp?DDFDocuments/v/G/SPS/NUSA2593A1.DOC")</f>
        <v>https://docs.wto.org/imrd/directdoc.asp?DDFDocuments/v/G/SPS/NUSA2593A1.DOC</v>
      </c>
      <c r="N1801" s="2" t="str">
        <f>HYPERLINK("http://www.epingalert.org/#/details/G/SPS/N/USA/2593/Add.1")</f>
        <v>http://www.epingalert.org/#/details/G/SPS/N/USA/2593/Add.1</v>
      </c>
      <c r="O1801" s="2"/>
    </row>
    <row r="1802" spans="1:15" ht="240" customHeight="1" outlineLevel="1" x14ac:dyDescent="0.25">
      <c r="A1802" s="2" t="s">
        <v>1042</v>
      </c>
      <c r="B1802" s="2" t="s">
        <v>8681</v>
      </c>
      <c r="C1802" s="2"/>
      <c r="D1802" s="2"/>
      <c r="E1802" s="3">
        <v>41695</v>
      </c>
      <c r="F1802" s="2" t="s">
        <v>8682</v>
      </c>
      <c r="G1802" s="2" t="s">
        <v>8683</v>
      </c>
      <c r="H1802" s="2" t="s">
        <v>2467</v>
      </c>
      <c r="I1802" s="2" t="s">
        <v>7034</v>
      </c>
      <c r="J1802" s="2"/>
      <c r="K1802" s="2" t="str">
        <f>HYPERLINK("https://docs.wto.org/imrd/directdoc.asp?DDFDocuments/t/G/SPS/NPHL222A1.DOC")</f>
        <v>https://docs.wto.org/imrd/directdoc.asp?DDFDocuments/t/G/SPS/NPHL222A1.DOC</v>
      </c>
      <c r="L1802" s="2" t="str">
        <f>HYPERLINK("https://docs.wto.org/imrd/directdoc.asp?DDFDocuments/u/G/SPS/NPHL222A1.DOC")</f>
        <v>https://docs.wto.org/imrd/directdoc.asp?DDFDocuments/u/G/SPS/NPHL222A1.DOC</v>
      </c>
      <c r="M1802" s="2" t="str">
        <f>HYPERLINK("https://docs.wto.org/imrd/directdoc.asp?DDFDocuments/v/G/SPS/NPHL222A1.DOC")</f>
        <v>https://docs.wto.org/imrd/directdoc.asp?DDFDocuments/v/G/SPS/NPHL222A1.DOC</v>
      </c>
      <c r="N1802" s="2" t="str">
        <f>HYPERLINK("http://www.epingalert.org/#/details/G/SPS/N/PHL/222/Add.1")</f>
        <v>http://www.epingalert.org/#/details/G/SPS/N/PHL/222/Add.1</v>
      </c>
      <c r="O1802" s="2"/>
    </row>
    <row r="1803" spans="1:15" ht="240" customHeight="1" outlineLevel="1" x14ac:dyDescent="0.25">
      <c r="A1803" s="2" t="s">
        <v>1042</v>
      </c>
      <c r="B1803" s="2" t="s">
        <v>8684</v>
      </c>
      <c r="C1803" s="2"/>
      <c r="D1803" s="2"/>
      <c r="E1803" s="3">
        <v>41695</v>
      </c>
      <c r="F1803" s="2" t="s">
        <v>8682</v>
      </c>
      <c r="G1803" s="2" t="s">
        <v>8685</v>
      </c>
      <c r="H1803" s="2" t="s">
        <v>2467</v>
      </c>
      <c r="I1803" s="2" t="s">
        <v>7034</v>
      </c>
      <c r="J1803" s="2"/>
      <c r="K1803" s="2" t="str">
        <f>HYPERLINK("https://docs.wto.org/imrd/directdoc.asp?DDFDocuments/t/G/SPS/NPHL220A1.DOC")</f>
        <v>https://docs.wto.org/imrd/directdoc.asp?DDFDocuments/t/G/SPS/NPHL220A1.DOC</v>
      </c>
      <c r="L1803" s="2" t="str">
        <f>HYPERLINK("https://docs.wto.org/imrd/directdoc.asp?DDFDocuments/u/G/SPS/NPHL220A1.DOC")</f>
        <v>https://docs.wto.org/imrd/directdoc.asp?DDFDocuments/u/G/SPS/NPHL220A1.DOC</v>
      </c>
      <c r="M1803" s="2" t="str">
        <f>HYPERLINK("https://docs.wto.org/imrd/directdoc.asp?DDFDocuments/v/G/SPS/NPHL220A1.DOC")</f>
        <v>https://docs.wto.org/imrd/directdoc.asp?DDFDocuments/v/G/SPS/NPHL220A1.DOC</v>
      </c>
      <c r="N1803" s="2" t="str">
        <f>HYPERLINK("http://www.epingalert.org/#/details/G/SPS/N/PHL/220/Add.1")</f>
        <v>http://www.epingalert.org/#/details/G/SPS/N/PHL/220/Add.1</v>
      </c>
      <c r="O1803" s="2"/>
    </row>
    <row r="1804" spans="1:15" ht="240" customHeight="1" outlineLevel="1" x14ac:dyDescent="0.25">
      <c r="A1804" s="2" t="s">
        <v>1042</v>
      </c>
      <c r="B1804" s="2" t="s">
        <v>8686</v>
      </c>
      <c r="C1804" s="2"/>
      <c r="D1804" s="2"/>
      <c r="E1804" s="3">
        <v>41695</v>
      </c>
      <c r="F1804" s="2" t="s">
        <v>8682</v>
      </c>
      <c r="G1804" s="2" t="s">
        <v>8687</v>
      </c>
      <c r="H1804" s="2" t="s">
        <v>2467</v>
      </c>
      <c r="I1804" s="2" t="s">
        <v>7034</v>
      </c>
      <c r="J1804" s="2"/>
      <c r="K1804" s="2" t="str">
        <f>HYPERLINK("https://docs.wto.org/imrd/directdoc.asp?DDFDocuments/t/G/SPS/NPHL219A1.DOC")</f>
        <v>https://docs.wto.org/imrd/directdoc.asp?DDFDocuments/t/G/SPS/NPHL219A1.DOC</v>
      </c>
      <c r="L1804" s="2" t="str">
        <f>HYPERLINK("https://docs.wto.org/imrd/directdoc.asp?DDFDocuments/u/G/SPS/NPHL219A1.DOC")</f>
        <v>https://docs.wto.org/imrd/directdoc.asp?DDFDocuments/u/G/SPS/NPHL219A1.DOC</v>
      </c>
      <c r="M1804" s="2" t="str">
        <f>HYPERLINK("https://docs.wto.org/imrd/directdoc.asp?DDFDocuments/v/G/SPS/NPHL219A1.DOC")</f>
        <v>https://docs.wto.org/imrd/directdoc.asp?DDFDocuments/v/G/SPS/NPHL219A1.DOC</v>
      </c>
      <c r="N1804" s="2" t="str">
        <f>HYPERLINK("http://www.epingalert.org/#/details/G/SPS/N/PHL/219/Add.1")</f>
        <v>http://www.epingalert.org/#/details/G/SPS/N/PHL/219/Add.1</v>
      </c>
      <c r="O1804" s="2"/>
    </row>
    <row r="1805" spans="1:15" ht="240" customHeight="1" outlineLevel="1" x14ac:dyDescent="0.25">
      <c r="A1805" s="2" t="s">
        <v>646</v>
      </c>
      <c r="B1805" s="2" t="s">
        <v>6267</v>
      </c>
      <c r="C1805" s="2" t="s">
        <v>6268</v>
      </c>
      <c r="D1805" s="2" t="s">
        <v>6269</v>
      </c>
      <c r="E1805" s="3">
        <v>41691</v>
      </c>
      <c r="F1805" s="2" t="s">
        <v>6270</v>
      </c>
      <c r="G1805" s="2" t="s">
        <v>3049</v>
      </c>
      <c r="H1805" s="2" t="s">
        <v>2648</v>
      </c>
      <c r="I1805" s="2" t="s">
        <v>3151</v>
      </c>
      <c r="J1805" s="3">
        <v>41751</v>
      </c>
      <c r="K1805" s="2" t="str">
        <f>HYPERLINK("https://docs.wto.org/imrd/directdoc.asp?DDFDocuments/t/G/SPS/NVNM52.DOC")</f>
        <v>https://docs.wto.org/imrd/directdoc.asp?DDFDocuments/t/G/SPS/NVNM52.DOC</v>
      </c>
      <c r="L1805" s="2" t="str">
        <f>HYPERLINK("https://docs.wto.org/imrd/directdoc.asp?DDFDocuments/u/G/SPS/NVNM52.DOC")</f>
        <v>https://docs.wto.org/imrd/directdoc.asp?DDFDocuments/u/G/SPS/NVNM52.DOC</v>
      </c>
      <c r="M1805" s="2" t="str">
        <f>HYPERLINK("https://docs.wto.org/imrd/directdoc.asp?DDFDocuments/v/G/SPS/NVNM52.DOC")</f>
        <v>https://docs.wto.org/imrd/directdoc.asp?DDFDocuments/v/G/SPS/NVNM52.DOC</v>
      </c>
      <c r="N1805" s="2" t="str">
        <f>HYPERLINK("http://www.epingalert.org/#/details/G/SPS/N/VNM/52")</f>
        <v>http://www.epingalert.org/#/details/G/SPS/N/VNM/52</v>
      </c>
      <c r="O1805" s="2"/>
    </row>
    <row r="1806" spans="1:15" ht="240" customHeight="1" outlineLevel="1" x14ac:dyDescent="0.25">
      <c r="A1806" s="2" t="s">
        <v>37</v>
      </c>
      <c r="B1806" s="2" t="s">
        <v>6563</v>
      </c>
      <c r="C1806" s="2" t="s">
        <v>6564</v>
      </c>
      <c r="D1806" s="2" t="s">
        <v>6565</v>
      </c>
      <c r="E1806" s="3">
        <v>41691</v>
      </c>
      <c r="F1806" s="2" t="s">
        <v>6566</v>
      </c>
      <c r="G1806" s="2" t="s">
        <v>2381</v>
      </c>
      <c r="H1806" s="2" t="s">
        <v>2573</v>
      </c>
      <c r="I1806" s="2" t="s">
        <v>2461</v>
      </c>
      <c r="J1806" s="3">
        <v>41751</v>
      </c>
      <c r="K1806" s="2" t="str">
        <f>HYPERLINK("https://docs.wto.org/imrd/directdoc.asp?DDFDocuments/t/G/SPS/NTUR40.DOC")</f>
        <v>https://docs.wto.org/imrd/directdoc.asp?DDFDocuments/t/G/SPS/NTUR40.DOC</v>
      </c>
      <c r="L1806" s="2" t="str">
        <f>HYPERLINK("https://docs.wto.org/imrd/directdoc.asp?DDFDocuments/u/G/SPS/NTUR40.DOC")</f>
        <v>https://docs.wto.org/imrd/directdoc.asp?DDFDocuments/u/G/SPS/NTUR40.DOC</v>
      </c>
      <c r="M1806" s="2" t="str">
        <f>HYPERLINK("https://docs.wto.org/imrd/directdoc.asp?DDFDocuments/v/G/SPS/NTUR40.DOC")</f>
        <v>https://docs.wto.org/imrd/directdoc.asp?DDFDocuments/v/G/SPS/NTUR40.DOC</v>
      </c>
      <c r="N1806" s="2" t="str">
        <f>HYPERLINK("http://www.epingalert.org/#/details/G/SPS/N/TUR/40")</f>
        <v>http://www.epingalert.org/#/details/G/SPS/N/TUR/40</v>
      </c>
      <c r="O1806" s="2"/>
    </row>
    <row r="1807" spans="1:15" ht="240" customHeight="1" outlineLevel="1" x14ac:dyDescent="0.25">
      <c r="A1807" s="2" t="s">
        <v>37</v>
      </c>
      <c r="B1807" s="2" t="s">
        <v>8688</v>
      </c>
      <c r="C1807" s="2" t="s">
        <v>8689</v>
      </c>
      <c r="D1807" s="2" t="s">
        <v>8690</v>
      </c>
      <c r="E1807" s="3">
        <v>41691</v>
      </c>
      <c r="F1807" s="2" t="s">
        <v>8691</v>
      </c>
      <c r="G1807" s="2" t="s">
        <v>8024</v>
      </c>
      <c r="H1807" s="2" t="s">
        <v>2573</v>
      </c>
      <c r="I1807" s="2" t="s">
        <v>2461</v>
      </c>
      <c r="J1807" s="3">
        <v>41751</v>
      </c>
      <c r="K1807" s="2" t="str">
        <f>HYPERLINK("https://docs.wto.org/imrd/directdoc.asp?DDFDocuments/t/G/SPS/NTUR41.DOC")</f>
        <v>https://docs.wto.org/imrd/directdoc.asp?DDFDocuments/t/G/SPS/NTUR41.DOC</v>
      </c>
      <c r="L1807" s="2" t="str">
        <f>HYPERLINK("https://docs.wto.org/imrd/directdoc.asp?DDFDocuments/u/G/SPS/NTUR41.DOC")</f>
        <v>https://docs.wto.org/imrd/directdoc.asp?DDFDocuments/u/G/SPS/NTUR41.DOC</v>
      </c>
      <c r="M1807" s="2" t="str">
        <f>HYPERLINK("https://docs.wto.org/imrd/directdoc.asp?DDFDocuments/v/G/SPS/NTUR41.DOC")</f>
        <v>https://docs.wto.org/imrd/directdoc.asp?DDFDocuments/v/G/SPS/NTUR41.DOC</v>
      </c>
      <c r="N1807" s="2" t="str">
        <f>HYPERLINK("http://www.epingalert.org/#/details/G/SPS/N/TUR/41")</f>
        <v>http://www.epingalert.org/#/details/G/SPS/N/TUR/41</v>
      </c>
      <c r="O1807" s="2"/>
    </row>
    <row r="1808" spans="1:15" ht="240" customHeight="1" outlineLevel="1" x14ac:dyDescent="0.25">
      <c r="A1808" s="2" t="s">
        <v>37</v>
      </c>
      <c r="B1808" s="2" t="s">
        <v>8692</v>
      </c>
      <c r="C1808" s="2" t="s">
        <v>8693</v>
      </c>
      <c r="D1808" s="2" t="s">
        <v>8694</v>
      </c>
      <c r="E1808" s="3">
        <v>41691</v>
      </c>
      <c r="F1808" s="2" t="s">
        <v>8695</v>
      </c>
      <c r="G1808" s="2" t="s">
        <v>2248</v>
      </c>
      <c r="H1808" s="2" t="s">
        <v>2573</v>
      </c>
      <c r="I1808" s="2" t="s">
        <v>2461</v>
      </c>
      <c r="J1808" s="3">
        <v>41751</v>
      </c>
      <c r="K1808" s="2" t="str">
        <f>HYPERLINK("https://docs.wto.org/imrd/directdoc.asp?DDFDocuments/t/G/SPS/NTUR39.DOC")</f>
        <v>https://docs.wto.org/imrd/directdoc.asp?DDFDocuments/t/G/SPS/NTUR39.DOC</v>
      </c>
      <c r="L1808" s="2" t="str">
        <f>HYPERLINK("https://docs.wto.org/imrd/directdoc.asp?DDFDocuments/u/G/SPS/NTUR39.DOC")</f>
        <v>https://docs.wto.org/imrd/directdoc.asp?DDFDocuments/u/G/SPS/NTUR39.DOC</v>
      </c>
      <c r="M1808" s="2" t="str">
        <f>HYPERLINK("https://docs.wto.org/imrd/directdoc.asp?DDFDocuments/v/G/SPS/NTUR39.DOC")</f>
        <v>https://docs.wto.org/imrd/directdoc.asp?DDFDocuments/v/G/SPS/NTUR39.DOC</v>
      </c>
      <c r="N1808" s="2" t="str">
        <f>HYPERLINK("http://www.epingalert.org/#/details/G/SPS/N/TUR/39")</f>
        <v>http://www.epingalert.org/#/details/G/SPS/N/TUR/39</v>
      </c>
      <c r="O1808" s="2"/>
    </row>
    <row r="1809" spans="1:15" ht="240" customHeight="1" outlineLevel="1" x14ac:dyDescent="0.25">
      <c r="A1809" s="2" t="s">
        <v>37</v>
      </c>
      <c r="B1809" s="2" t="s">
        <v>8696</v>
      </c>
      <c r="C1809" s="2" t="s">
        <v>8697</v>
      </c>
      <c r="D1809" s="2" t="s">
        <v>8698</v>
      </c>
      <c r="E1809" s="3">
        <v>41691</v>
      </c>
      <c r="F1809" s="2" t="s">
        <v>8699</v>
      </c>
      <c r="G1809" s="2" t="s">
        <v>1968</v>
      </c>
      <c r="H1809" s="2" t="s">
        <v>2573</v>
      </c>
      <c r="I1809" s="2" t="s">
        <v>6503</v>
      </c>
      <c r="J1809" s="3">
        <v>41751</v>
      </c>
      <c r="K1809" s="2" t="str">
        <f>HYPERLINK("https://docs.wto.org/imrd/directdoc.asp?DDFDocuments/t/G/SPS/NTUR38.DOC")</f>
        <v>https://docs.wto.org/imrd/directdoc.asp?DDFDocuments/t/G/SPS/NTUR38.DOC</v>
      </c>
      <c r="L1809" s="2" t="str">
        <f>HYPERLINK("https://docs.wto.org/imrd/directdoc.asp?DDFDocuments/u/G/SPS/NTUR38.DOC")</f>
        <v>https://docs.wto.org/imrd/directdoc.asp?DDFDocuments/u/G/SPS/NTUR38.DOC</v>
      </c>
      <c r="M1809" s="2" t="str">
        <f>HYPERLINK("https://docs.wto.org/imrd/directdoc.asp?DDFDocuments/v/G/SPS/NTUR38.DOC")</f>
        <v>https://docs.wto.org/imrd/directdoc.asp?DDFDocuments/v/G/SPS/NTUR38.DOC</v>
      </c>
      <c r="N1809" s="2" t="str">
        <f>HYPERLINK("http://www.epingalert.org/#/details/G/SPS/N/TUR/38")</f>
        <v>http://www.epingalert.org/#/details/G/SPS/N/TUR/38</v>
      </c>
      <c r="O1809" s="2"/>
    </row>
    <row r="1810" spans="1:15" ht="240" customHeight="1" outlineLevel="1" x14ac:dyDescent="0.25">
      <c r="A1810" s="2" t="s">
        <v>191</v>
      </c>
      <c r="B1810" s="2" t="s">
        <v>8700</v>
      </c>
      <c r="C1810" s="2" t="s">
        <v>8668</v>
      </c>
      <c r="D1810" s="2" t="s">
        <v>8701</v>
      </c>
      <c r="E1810" s="3">
        <v>41691</v>
      </c>
      <c r="F1810" s="2" t="s">
        <v>8614</v>
      </c>
      <c r="G1810" s="2" t="s">
        <v>2381</v>
      </c>
      <c r="H1810" s="2" t="s">
        <v>2573</v>
      </c>
      <c r="I1810" s="2" t="s">
        <v>2461</v>
      </c>
      <c r="J1810" s="3">
        <v>41751</v>
      </c>
      <c r="K1810" s="2" t="str">
        <f>HYPERLINK("https://docs.wto.org/imrd/directdoc.asp?DDFDocuments/t/G/SPS/NGTM59.DOC")</f>
        <v>https://docs.wto.org/imrd/directdoc.asp?DDFDocuments/t/G/SPS/NGTM59.DOC</v>
      </c>
      <c r="L1810" s="2" t="str">
        <f>HYPERLINK("https://docs.wto.org/imrd/directdoc.asp?DDFDocuments/u/G/SPS/NGTM59.DOC")</f>
        <v>https://docs.wto.org/imrd/directdoc.asp?DDFDocuments/u/G/SPS/NGTM59.DOC</v>
      </c>
      <c r="M1810" s="2" t="str">
        <f>HYPERLINK("https://docs.wto.org/imrd/directdoc.asp?DDFDocuments/v/G/SPS/NGTM59.DOC")</f>
        <v>https://docs.wto.org/imrd/directdoc.asp?DDFDocuments/v/G/SPS/NGTM59.DOC</v>
      </c>
      <c r="N1810" s="2" t="str">
        <f>HYPERLINK("http://www.epingalert.org/#/details/G/SPS/N/GTM/59")</f>
        <v>http://www.epingalert.org/#/details/G/SPS/N/GTM/59</v>
      </c>
      <c r="O1810" s="2"/>
    </row>
    <row r="1811" spans="1:15" ht="240" customHeight="1" outlineLevel="1" x14ac:dyDescent="0.25">
      <c r="A1811" s="2" t="s">
        <v>191</v>
      </c>
      <c r="B1811" s="2" t="s">
        <v>8702</v>
      </c>
      <c r="C1811" s="2" t="s">
        <v>8703</v>
      </c>
      <c r="D1811" s="2" t="s">
        <v>8672</v>
      </c>
      <c r="E1811" s="3">
        <v>41691</v>
      </c>
      <c r="F1811" s="2" t="s">
        <v>8614</v>
      </c>
      <c r="G1811" s="2" t="s">
        <v>2248</v>
      </c>
      <c r="H1811" s="2" t="s">
        <v>2573</v>
      </c>
      <c r="I1811" s="2" t="s">
        <v>2461</v>
      </c>
      <c r="J1811" s="3">
        <v>41751</v>
      </c>
      <c r="K1811" s="2" t="str">
        <f>HYPERLINK("https://docs.wto.org/imrd/directdoc.asp?DDFDocuments/t/G/SPS/NGTM58.DOC")</f>
        <v>https://docs.wto.org/imrd/directdoc.asp?DDFDocuments/t/G/SPS/NGTM58.DOC</v>
      </c>
      <c r="L1811" s="2" t="str">
        <f>HYPERLINK("https://docs.wto.org/imrd/directdoc.asp?DDFDocuments/u/G/SPS/NGTM58.DOC")</f>
        <v>https://docs.wto.org/imrd/directdoc.asp?DDFDocuments/u/G/SPS/NGTM58.DOC</v>
      </c>
      <c r="M1811" s="2" t="str">
        <f>HYPERLINK("https://docs.wto.org/imrd/directdoc.asp?DDFDocuments/v/G/SPS/NGTM58.DOC")</f>
        <v>https://docs.wto.org/imrd/directdoc.asp?DDFDocuments/v/G/SPS/NGTM58.DOC</v>
      </c>
      <c r="N1811" s="2" t="str">
        <f>HYPERLINK("http://www.epingalert.org/#/details/G/SPS/N/GTM/58")</f>
        <v>http://www.epingalert.org/#/details/G/SPS/N/GTM/58</v>
      </c>
      <c r="O1811" s="2"/>
    </row>
    <row r="1812" spans="1:15" ht="240" customHeight="1" outlineLevel="1" x14ac:dyDescent="0.25">
      <c r="A1812" s="2" t="s">
        <v>77</v>
      </c>
      <c r="B1812" s="2" t="s">
        <v>6276</v>
      </c>
      <c r="C1812" s="2" t="s">
        <v>6277</v>
      </c>
      <c r="D1812" s="2" t="s">
        <v>6278</v>
      </c>
      <c r="E1812" s="3">
        <v>41690</v>
      </c>
      <c r="F1812" s="2" t="s">
        <v>6279</v>
      </c>
      <c r="G1812" s="2" t="s">
        <v>6280</v>
      </c>
      <c r="H1812" s="2" t="s">
        <v>2467</v>
      </c>
      <c r="I1812" s="2" t="s">
        <v>2713</v>
      </c>
      <c r="J1812" s="3">
        <v>41713</v>
      </c>
      <c r="K1812" s="2" t="str">
        <f>HYPERLINK("https://docs.wto.org/imrd/directdoc.asp?DDFDocuments/t/G/SPS/NTPKM305.DOC")</f>
        <v>https://docs.wto.org/imrd/directdoc.asp?DDFDocuments/t/G/SPS/NTPKM305.DOC</v>
      </c>
      <c r="L1812" s="2" t="str">
        <f>HYPERLINK("https://docs.wto.org/imrd/directdoc.asp?DDFDocuments/u/G/SPS/NTPKM305.DOC")</f>
        <v>https://docs.wto.org/imrd/directdoc.asp?DDFDocuments/u/G/SPS/NTPKM305.DOC</v>
      </c>
      <c r="M1812" s="2" t="str">
        <f>HYPERLINK("https://docs.wto.org/imrd/directdoc.asp?DDFDocuments/v/G/SPS/NTPKM305.DOC")</f>
        <v>https://docs.wto.org/imrd/directdoc.asp?DDFDocuments/v/G/SPS/NTPKM305.DOC</v>
      </c>
      <c r="N1812" s="2" t="str">
        <f>HYPERLINK("http://www.epingalert.org/#/details/G/SPS/N/TPKM/305")</f>
        <v>http://www.epingalert.org/#/details/G/SPS/N/TPKM/305</v>
      </c>
      <c r="O1812" s="2"/>
    </row>
    <row r="1813" spans="1:15" ht="240" customHeight="1" outlineLevel="1" x14ac:dyDescent="0.25">
      <c r="A1813" s="2" t="s">
        <v>1908</v>
      </c>
      <c r="B1813" s="2" t="s">
        <v>6271</v>
      </c>
      <c r="C1813" s="2"/>
      <c r="D1813" s="2"/>
      <c r="E1813" s="3">
        <v>41690</v>
      </c>
      <c r="F1813" s="2" t="s">
        <v>6272</v>
      </c>
      <c r="G1813" s="2"/>
      <c r="H1813" s="2" t="s">
        <v>2573</v>
      </c>
      <c r="I1813" s="2" t="s">
        <v>2444</v>
      </c>
      <c r="J1813" s="2"/>
      <c r="K1813" s="2" t="str">
        <f>HYPERLINK("https://docs.wto.org/imrd/directdoc.asp?DDFDocuments/t/G/SPS/NCAN769A1.DOC")</f>
        <v>https://docs.wto.org/imrd/directdoc.asp?DDFDocuments/t/G/SPS/NCAN769A1.DOC</v>
      </c>
      <c r="L1813" s="2" t="str">
        <f>HYPERLINK("https://docs.wto.org/imrd/directdoc.asp?DDFDocuments/u/G/SPS/NCAN769A1.DOC")</f>
        <v>https://docs.wto.org/imrd/directdoc.asp?DDFDocuments/u/G/SPS/NCAN769A1.DOC</v>
      </c>
      <c r="M1813" s="2" t="str">
        <f>HYPERLINK("https://docs.wto.org/imrd/directdoc.asp?DDFDocuments/v/G/SPS/NCAN769A1.DOC")</f>
        <v>https://docs.wto.org/imrd/directdoc.asp?DDFDocuments/v/G/SPS/NCAN769A1.DOC</v>
      </c>
      <c r="N1813" s="2" t="str">
        <f>HYPERLINK("http://www.epingalert.org/#/details/G/SPS/N/CAN/769/Add.1")</f>
        <v>http://www.epingalert.org/#/details/G/SPS/N/CAN/769/Add.1</v>
      </c>
      <c r="O1813" s="2"/>
    </row>
    <row r="1814" spans="1:15" ht="240" customHeight="1" outlineLevel="1" x14ac:dyDescent="0.25">
      <c r="A1814" s="2" t="s">
        <v>115</v>
      </c>
      <c r="B1814" s="2" t="s">
        <v>6273</v>
      </c>
      <c r="C1814" s="2" t="s">
        <v>2622</v>
      </c>
      <c r="D1814" s="2" t="s">
        <v>6274</v>
      </c>
      <c r="E1814" s="3">
        <v>41690</v>
      </c>
      <c r="F1814" s="2" t="s">
        <v>6275</v>
      </c>
      <c r="G1814" s="2"/>
      <c r="H1814" s="2" t="s">
        <v>2573</v>
      </c>
      <c r="I1814" s="2" t="s">
        <v>2426</v>
      </c>
      <c r="J1814" s="2"/>
      <c r="K1814" s="2" t="str">
        <f>HYPERLINK("https://docs.wto.org/imrd/directdoc.asp?DDFDocuments/t/G/SPS/NJPN334.DOC")</f>
        <v>https://docs.wto.org/imrd/directdoc.asp?DDFDocuments/t/G/SPS/NJPN334.DOC</v>
      </c>
      <c r="L1814" s="2" t="str">
        <f>HYPERLINK("https://docs.wto.org/imrd/directdoc.asp?DDFDocuments/u/G/SPS/NJPN334.DOC")</f>
        <v>https://docs.wto.org/imrd/directdoc.asp?DDFDocuments/u/G/SPS/NJPN334.DOC</v>
      </c>
      <c r="M1814" s="2" t="str">
        <f>HYPERLINK("https://docs.wto.org/imrd/directdoc.asp?DDFDocuments/v/G/SPS/NJPN334.DOC")</f>
        <v>https://docs.wto.org/imrd/directdoc.asp?DDFDocuments/v/G/SPS/NJPN334.DOC</v>
      </c>
      <c r="N1814" s="2" t="str">
        <f>HYPERLINK("http://www.epingalert.org/#/details/G/SPS/N/JPN/334")</f>
        <v>http://www.epingalert.org/#/details/G/SPS/N/JPN/334</v>
      </c>
      <c r="O1814" s="2"/>
    </row>
    <row r="1815" spans="1:15" ht="240" customHeight="1" outlineLevel="1" x14ac:dyDescent="0.25">
      <c r="A1815" s="2" t="s">
        <v>282</v>
      </c>
      <c r="B1815" s="2" t="s">
        <v>8704</v>
      </c>
      <c r="C1815" s="2"/>
      <c r="D1815" s="2"/>
      <c r="E1815" s="3">
        <v>41690</v>
      </c>
      <c r="F1815" s="2" t="s">
        <v>8567</v>
      </c>
      <c r="G1815" s="2" t="s">
        <v>8705</v>
      </c>
      <c r="H1815" s="2" t="s">
        <v>2648</v>
      </c>
      <c r="I1815" s="2" t="s">
        <v>8324</v>
      </c>
      <c r="J1815" s="2"/>
      <c r="K1815" s="2" t="str">
        <f>HYPERLINK("https://docs.wto.org/imrd/directdoc.asp?DDFDocuments/t/G/SPS/NRUS48A1.DOC")</f>
        <v>https://docs.wto.org/imrd/directdoc.asp?DDFDocuments/t/G/SPS/NRUS48A1.DOC</v>
      </c>
      <c r="L1815" s="2" t="str">
        <f>HYPERLINK("https://docs.wto.org/imrd/directdoc.asp?DDFDocuments/u/G/SPS/NRUS48A1.DOC")</f>
        <v>https://docs.wto.org/imrd/directdoc.asp?DDFDocuments/u/G/SPS/NRUS48A1.DOC</v>
      </c>
      <c r="M1815" s="2" t="str">
        <f>HYPERLINK("https://docs.wto.org/imrd/directdoc.asp?DDFDocuments/v/G/SPS/NRUS48A1.DOC")</f>
        <v>https://docs.wto.org/imrd/directdoc.asp?DDFDocuments/v/G/SPS/NRUS48A1.DOC</v>
      </c>
      <c r="N1815" s="2" t="str">
        <f>HYPERLINK("http://www.epingalert.org/#/details/G/SPS/N/RUS/48/Add.1")</f>
        <v>http://www.epingalert.org/#/details/G/SPS/N/RUS/48/Add.1</v>
      </c>
      <c r="O1815" s="2"/>
    </row>
    <row r="1816" spans="1:15" ht="240" customHeight="1" outlineLevel="1" x14ac:dyDescent="0.25">
      <c r="A1816" s="2" t="s">
        <v>37</v>
      </c>
      <c r="B1816" s="2" t="s">
        <v>8706</v>
      </c>
      <c r="C1816" s="2" t="s">
        <v>8707</v>
      </c>
      <c r="D1816" s="2" t="s">
        <v>8708</v>
      </c>
      <c r="E1816" s="3">
        <v>41689</v>
      </c>
      <c r="F1816" s="2" t="s">
        <v>1374</v>
      </c>
      <c r="G1816" s="2" t="s">
        <v>2790</v>
      </c>
      <c r="H1816" s="2" t="s">
        <v>2573</v>
      </c>
      <c r="I1816" s="2" t="s">
        <v>2558</v>
      </c>
      <c r="J1816" s="3">
        <v>41749</v>
      </c>
      <c r="K1816" s="2" t="str">
        <f>HYPERLINK("https://docs.wto.org/imrd/directdoc.asp?DDFDocuments/t/G/SPS/NTUR37.DOC")</f>
        <v>https://docs.wto.org/imrd/directdoc.asp?DDFDocuments/t/G/SPS/NTUR37.DOC</v>
      </c>
      <c r="L1816" s="2" t="str">
        <f>HYPERLINK("https://docs.wto.org/imrd/directdoc.asp?DDFDocuments/u/G/SPS/NTUR37.DOC")</f>
        <v>https://docs.wto.org/imrd/directdoc.asp?DDFDocuments/u/G/SPS/NTUR37.DOC</v>
      </c>
      <c r="M1816" s="2" t="str">
        <f>HYPERLINK("https://docs.wto.org/imrd/directdoc.asp?DDFDocuments/v/G/SPS/NTUR37.DOC")</f>
        <v>https://docs.wto.org/imrd/directdoc.asp?DDFDocuments/v/G/SPS/NTUR37.DOC</v>
      </c>
      <c r="N1816" s="2" t="str">
        <f>HYPERLINK("http://www.epingalert.org/#/details/G/SPS/N/TUR/37")</f>
        <v>http://www.epingalert.org/#/details/G/SPS/N/TUR/37</v>
      </c>
      <c r="O1816" s="2"/>
    </row>
    <row r="1817" spans="1:15" ht="240" customHeight="1" outlineLevel="1" x14ac:dyDescent="0.25">
      <c r="A1817" s="2" t="s">
        <v>37</v>
      </c>
      <c r="B1817" s="2" t="s">
        <v>8709</v>
      </c>
      <c r="C1817" s="2" t="s">
        <v>8710</v>
      </c>
      <c r="D1817" s="2" t="s">
        <v>8711</v>
      </c>
      <c r="E1817" s="3">
        <v>41689</v>
      </c>
      <c r="F1817" s="2" t="s">
        <v>8712</v>
      </c>
      <c r="G1817" s="2" t="s">
        <v>2790</v>
      </c>
      <c r="H1817" s="2" t="s">
        <v>2573</v>
      </c>
      <c r="I1817" s="2" t="s">
        <v>2558</v>
      </c>
      <c r="J1817" s="3">
        <v>41749</v>
      </c>
      <c r="K1817" s="2" t="str">
        <f>HYPERLINK("https://docs.wto.org/imrd/directdoc.asp?DDFDocuments/t/G/SPS/NTUR36.DOC")</f>
        <v>https://docs.wto.org/imrd/directdoc.asp?DDFDocuments/t/G/SPS/NTUR36.DOC</v>
      </c>
      <c r="L1817" s="2" t="str">
        <f>HYPERLINK("https://docs.wto.org/imrd/directdoc.asp?DDFDocuments/u/G/SPS/NTUR36.DOC")</f>
        <v>https://docs.wto.org/imrd/directdoc.asp?DDFDocuments/u/G/SPS/NTUR36.DOC</v>
      </c>
      <c r="M1817" s="2" t="str">
        <f>HYPERLINK("https://docs.wto.org/imrd/directdoc.asp?DDFDocuments/v/G/SPS/NTUR36.DOC")</f>
        <v>https://docs.wto.org/imrd/directdoc.asp?DDFDocuments/v/G/SPS/NTUR36.DOC</v>
      </c>
      <c r="N1817" s="2" t="str">
        <f>HYPERLINK("http://www.epingalert.org/#/details/G/SPS/N/TUR/36")</f>
        <v>http://www.epingalert.org/#/details/G/SPS/N/TUR/36</v>
      </c>
      <c r="O1817" s="2"/>
    </row>
    <row r="1818" spans="1:15" ht="240" customHeight="1" outlineLevel="1" x14ac:dyDescent="0.25">
      <c r="A1818" s="2" t="s">
        <v>37</v>
      </c>
      <c r="B1818" s="2" t="s">
        <v>8713</v>
      </c>
      <c r="C1818" s="2" t="s">
        <v>8714</v>
      </c>
      <c r="D1818" s="2" t="s">
        <v>8715</v>
      </c>
      <c r="E1818" s="3">
        <v>41689</v>
      </c>
      <c r="F1818" s="2" t="s">
        <v>8716</v>
      </c>
      <c r="G1818" s="2" t="s">
        <v>2039</v>
      </c>
      <c r="H1818" s="2" t="s">
        <v>2454</v>
      </c>
      <c r="I1818" s="2" t="s">
        <v>8717</v>
      </c>
      <c r="J1818" s="3">
        <v>41749</v>
      </c>
      <c r="K1818" s="2" t="str">
        <f>HYPERLINK("https://docs.wto.org/imrd/directdoc.asp?DDFDocuments/t/G/SPS/NTUR35.DOC")</f>
        <v>https://docs.wto.org/imrd/directdoc.asp?DDFDocuments/t/G/SPS/NTUR35.DOC</v>
      </c>
      <c r="L1818" s="2" t="str">
        <f>HYPERLINK("https://docs.wto.org/imrd/directdoc.asp?DDFDocuments/u/G/SPS/NTUR35.DOC")</f>
        <v>https://docs.wto.org/imrd/directdoc.asp?DDFDocuments/u/G/SPS/NTUR35.DOC</v>
      </c>
      <c r="M1818" s="2" t="str">
        <f>HYPERLINK("https://docs.wto.org/imrd/directdoc.asp?DDFDocuments/v/G/SPS/NTUR35.DOC")</f>
        <v>https://docs.wto.org/imrd/directdoc.asp?DDFDocuments/v/G/SPS/NTUR35.DOC</v>
      </c>
      <c r="N1818" s="2" t="str">
        <f>HYPERLINK("http://www.epingalert.org/#/details/G/SPS/N/TUR/35")</f>
        <v>http://www.epingalert.org/#/details/G/SPS/N/TUR/35</v>
      </c>
      <c r="O1818" s="2"/>
    </row>
    <row r="1819" spans="1:15" ht="240" customHeight="1" outlineLevel="1" x14ac:dyDescent="0.25">
      <c r="A1819" s="2" t="s">
        <v>37</v>
      </c>
      <c r="B1819" s="2" t="s">
        <v>6284</v>
      </c>
      <c r="C1819" s="2" t="s">
        <v>6285</v>
      </c>
      <c r="D1819" s="2" t="s">
        <v>6286</v>
      </c>
      <c r="E1819" s="3">
        <v>41688</v>
      </c>
      <c r="F1819" s="2" t="s">
        <v>2722</v>
      </c>
      <c r="G1819" s="2" t="s">
        <v>6287</v>
      </c>
      <c r="H1819" s="2" t="s">
        <v>2573</v>
      </c>
      <c r="I1819" s="2" t="s">
        <v>3422</v>
      </c>
      <c r="J1819" s="3">
        <v>41748</v>
      </c>
      <c r="K1819" s="2" t="str">
        <f>HYPERLINK("https://docs.wto.org/imrd/directdoc.asp?DDFDocuments/t/G/SPS/NTUR34.DOC")</f>
        <v>https://docs.wto.org/imrd/directdoc.asp?DDFDocuments/t/G/SPS/NTUR34.DOC</v>
      </c>
      <c r="L1819" s="2" t="str">
        <f>HYPERLINK("https://docs.wto.org/imrd/directdoc.asp?DDFDocuments/u/G/SPS/NTUR34.DOC")</f>
        <v>https://docs.wto.org/imrd/directdoc.asp?DDFDocuments/u/G/SPS/NTUR34.DOC</v>
      </c>
      <c r="M1819" s="2" t="str">
        <f>HYPERLINK("https://docs.wto.org/imrd/directdoc.asp?DDFDocuments/v/G/SPS/NTUR34.DOC")</f>
        <v>https://docs.wto.org/imrd/directdoc.asp?DDFDocuments/v/G/SPS/NTUR34.DOC</v>
      </c>
      <c r="N1819" s="2" t="str">
        <f>HYPERLINK("http://www.epingalert.org/#/details/G/SPS/N/TUR/34")</f>
        <v>http://www.epingalert.org/#/details/G/SPS/N/TUR/34</v>
      </c>
      <c r="O1819" s="2"/>
    </row>
    <row r="1820" spans="1:15" ht="240" customHeight="1" outlineLevel="1" x14ac:dyDescent="0.25">
      <c r="A1820" s="2" t="s">
        <v>282</v>
      </c>
      <c r="B1820" s="2" t="s">
        <v>6281</v>
      </c>
      <c r="C1820" s="2"/>
      <c r="D1820" s="2"/>
      <c r="E1820" s="3">
        <v>41688</v>
      </c>
      <c r="F1820" s="2" t="s">
        <v>5489</v>
      </c>
      <c r="G1820" s="2" t="s">
        <v>6282</v>
      </c>
      <c r="H1820" s="2" t="s">
        <v>2467</v>
      </c>
      <c r="I1820" s="2" t="s">
        <v>2444</v>
      </c>
      <c r="J1820" s="2"/>
      <c r="K1820" s="2" t="str">
        <f>HYPERLINK("https://docs.wto.org/imrd/directdoc.asp?DDFDocuments/t/G/SPS/NRUS38A1.DOC")</f>
        <v>https://docs.wto.org/imrd/directdoc.asp?DDFDocuments/t/G/SPS/NRUS38A1.DOC</v>
      </c>
      <c r="L1820" s="2" t="str">
        <f>HYPERLINK("https://docs.wto.org/imrd/directdoc.asp?DDFDocuments/u/G/SPS/NRUS38A1.DOC")</f>
        <v>https://docs.wto.org/imrd/directdoc.asp?DDFDocuments/u/G/SPS/NRUS38A1.DOC</v>
      </c>
      <c r="M1820" s="2" t="str">
        <f>HYPERLINK("https://docs.wto.org/imrd/directdoc.asp?DDFDocuments/v/G/SPS/NRUS38A1.DOC")</f>
        <v>https://docs.wto.org/imrd/directdoc.asp?DDFDocuments/v/G/SPS/NRUS38A1.DOC</v>
      </c>
      <c r="N1820" s="2" t="str">
        <f>HYPERLINK("http://www.epingalert.org/#/details/G/SPS/N/RUS/38/Add.1")</f>
        <v>http://www.epingalert.org/#/details/G/SPS/N/RUS/38/Add.1</v>
      </c>
      <c r="O1820" s="2"/>
    </row>
    <row r="1821" spans="1:15" ht="240" customHeight="1" outlineLevel="1" x14ac:dyDescent="0.25">
      <c r="A1821" s="2" t="s">
        <v>282</v>
      </c>
      <c r="B1821" s="2" t="s">
        <v>6283</v>
      </c>
      <c r="C1821" s="2"/>
      <c r="D1821" s="2"/>
      <c r="E1821" s="3">
        <v>41688</v>
      </c>
      <c r="F1821" s="2" t="s">
        <v>299</v>
      </c>
      <c r="G1821" s="2"/>
      <c r="H1821" s="2" t="s">
        <v>2573</v>
      </c>
      <c r="I1821" s="2" t="s">
        <v>2628</v>
      </c>
      <c r="J1821" s="2"/>
      <c r="K1821" s="2" t="str">
        <f>HYPERLINK("https://docs.wto.org/imrd/directdoc.asp?DDFDocuments/t/G/SPS/NRUS25A2.DOC")</f>
        <v>https://docs.wto.org/imrd/directdoc.asp?DDFDocuments/t/G/SPS/NRUS25A2.DOC</v>
      </c>
      <c r="L1821" s="2" t="str">
        <f>HYPERLINK("https://docs.wto.org/imrd/directdoc.asp?DDFDocuments/u/G/SPS/NRUS25A2.DOC")</f>
        <v>https://docs.wto.org/imrd/directdoc.asp?DDFDocuments/u/G/SPS/NRUS25A2.DOC</v>
      </c>
      <c r="M1821" s="2" t="str">
        <f>HYPERLINK("https://docs.wto.org/imrd/directdoc.asp?DDFDocuments/v/G/SPS/NRUS25A2.DOC")</f>
        <v>https://docs.wto.org/imrd/directdoc.asp?DDFDocuments/v/G/SPS/NRUS25A2.DOC</v>
      </c>
      <c r="N1821" s="2" t="str">
        <f>HYPERLINK("http://www.epingalert.org/#/details/G/SPS/N/RUS/25/Add.2")</f>
        <v>http://www.epingalert.org/#/details/G/SPS/N/RUS/25/Add.2</v>
      </c>
      <c r="O1821" s="2"/>
    </row>
    <row r="1822" spans="1:15" ht="240" customHeight="1" outlineLevel="1" x14ac:dyDescent="0.25">
      <c r="A1822" s="2" t="s">
        <v>282</v>
      </c>
      <c r="B1822" s="2" t="s">
        <v>8718</v>
      </c>
      <c r="C1822" s="2"/>
      <c r="D1822" s="2"/>
      <c r="E1822" s="3">
        <v>41688</v>
      </c>
      <c r="F1822" s="2" t="s">
        <v>8719</v>
      </c>
      <c r="G1822" s="2" t="s">
        <v>2039</v>
      </c>
      <c r="H1822" s="2" t="s">
        <v>2467</v>
      </c>
      <c r="I1822" s="2" t="s">
        <v>2444</v>
      </c>
      <c r="J1822" s="2"/>
      <c r="K1822" s="2" t="str">
        <f>HYPERLINK("https://docs.wto.org/imrd/directdoc.asp?DDFDocuments/t/G/SPS/NRUS36A1.DOC")</f>
        <v>https://docs.wto.org/imrd/directdoc.asp?DDFDocuments/t/G/SPS/NRUS36A1.DOC</v>
      </c>
      <c r="L1822" s="2" t="str">
        <f>HYPERLINK("https://docs.wto.org/imrd/directdoc.asp?DDFDocuments/u/G/SPS/NRUS36A1.DOC")</f>
        <v>https://docs.wto.org/imrd/directdoc.asp?DDFDocuments/u/G/SPS/NRUS36A1.DOC</v>
      </c>
      <c r="M1822" s="2" t="str">
        <f>HYPERLINK("https://docs.wto.org/imrd/directdoc.asp?DDFDocuments/v/G/SPS/NRUS36A1.DOC")</f>
        <v>https://docs.wto.org/imrd/directdoc.asp?DDFDocuments/v/G/SPS/NRUS36A1.DOC</v>
      </c>
      <c r="N1822" s="2" t="str">
        <f>HYPERLINK("http://www.epingalert.org/#/details/G/SPS/N/RUS/36/Add.1")</f>
        <v>http://www.epingalert.org/#/details/G/SPS/N/RUS/36/Add.1</v>
      </c>
      <c r="O1822" s="2"/>
    </row>
    <row r="1823" spans="1:15" ht="240" customHeight="1" outlineLevel="1" x14ac:dyDescent="0.25">
      <c r="A1823" s="2" t="s">
        <v>282</v>
      </c>
      <c r="B1823" s="2" t="s">
        <v>8720</v>
      </c>
      <c r="C1823" s="2"/>
      <c r="D1823" s="2"/>
      <c r="E1823" s="3">
        <v>41688</v>
      </c>
      <c r="F1823" s="2" t="s">
        <v>8721</v>
      </c>
      <c r="G1823" s="2" t="s">
        <v>2039</v>
      </c>
      <c r="H1823" s="2" t="s">
        <v>2454</v>
      </c>
      <c r="I1823" s="2" t="s">
        <v>2628</v>
      </c>
      <c r="J1823" s="2"/>
      <c r="K1823" s="2" t="str">
        <f>HYPERLINK("https://docs.wto.org/imrd/directdoc.asp?DDFDocuments/t/G/SPS/NRUS20A1.DOC")</f>
        <v>https://docs.wto.org/imrd/directdoc.asp?DDFDocuments/t/G/SPS/NRUS20A1.DOC</v>
      </c>
      <c r="L1823" s="2" t="str">
        <f>HYPERLINK("https://docs.wto.org/imrd/directdoc.asp?DDFDocuments/u/G/SPS/NRUS20A1.DOC")</f>
        <v>https://docs.wto.org/imrd/directdoc.asp?DDFDocuments/u/G/SPS/NRUS20A1.DOC</v>
      </c>
      <c r="M1823" s="2" t="str">
        <f>HYPERLINK("https://docs.wto.org/imrd/directdoc.asp?DDFDocuments/v/G/SPS/NRUS20A1.DOC")</f>
        <v>https://docs.wto.org/imrd/directdoc.asp?DDFDocuments/v/G/SPS/NRUS20A1.DOC</v>
      </c>
      <c r="N1823" s="2" t="str">
        <f>HYPERLINK("http://www.epingalert.org/#/details/G/SPS/N/RUS/20/Add.1")</f>
        <v>http://www.epingalert.org/#/details/G/SPS/N/RUS/20/Add.1</v>
      </c>
      <c r="O1823" s="2"/>
    </row>
    <row r="1824" spans="1:15" ht="240" customHeight="1" outlineLevel="1" x14ac:dyDescent="0.25">
      <c r="A1824" s="2" t="s">
        <v>1846</v>
      </c>
      <c r="B1824" s="2" t="s">
        <v>8722</v>
      </c>
      <c r="C1824" s="2" t="s">
        <v>8723</v>
      </c>
      <c r="D1824" s="2" t="s">
        <v>8724</v>
      </c>
      <c r="E1824" s="3">
        <v>41687</v>
      </c>
      <c r="F1824" s="2" t="s">
        <v>7874</v>
      </c>
      <c r="G1824" s="2" t="s">
        <v>7461</v>
      </c>
      <c r="H1824" s="2" t="s">
        <v>2573</v>
      </c>
      <c r="I1824" s="2" t="s">
        <v>2426</v>
      </c>
      <c r="J1824" s="3">
        <v>41747</v>
      </c>
      <c r="K1824" s="2" t="str">
        <f>HYPERLINK("https://docs.wto.org/imrd/directdoc.asp?DDFDocuments/t/G/SPS/NALB171.DOC")</f>
        <v>https://docs.wto.org/imrd/directdoc.asp?DDFDocuments/t/G/SPS/NALB171.DOC</v>
      </c>
      <c r="L1824" s="2" t="str">
        <f>HYPERLINK("https://docs.wto.org/imrd/directdoc.asp?DDFDocuments/u/G/SPS/NALB171.DOC")</f>
        <v>https://docs.wto.org/imrd/directdoc.asp?DDFDocuments/u/G/SPS/NALB171.DOC</v>
      </c>
      <c r="M1824" s="2" t="str">
        <f>HYPERLINK("https://docs.wto.org/imrd/directdoc.asp?DDFDocuments/v/G/SPS/NALB171.DOC")</f>
        <v>https://docs.wto.org/imrd/directdoc.asp?DDFDocuments/v/G/SPS/NALB171.DOC</v>
      </c>
      <c r="N1824" s="2" t="str">
        <f>HYPERLINK("http://www.epingalert.org/#/details/G/SPS/N/ALB/171")</f>
        <v>http://www.epingalert.org/#/details/G/SPS/N/ALB/171</v>
      </c>
      <c r="O1824" s="2"/>
    </row>
    <row r="1825" spans="1:15" ht="240" customHeight="1" outlineLevel="1" x14ac:dyDescent="0.25">
      <c r="A1825" s="2" t="s">
        <v>77</v>
      </c>
      <c r="B1825" s="2" t="s">
        <v>6288</v>
      </c>
      <c r="C1825" s="2"/>
      <c r="D1825" s="2"/>
      <c r="E1825" s="3">
        <v>41687</v>
      </c>
      <c r="F1825" s="2" t="s">
        <v>6130</v>
      </c>
      <c r="G1825" s="2"/>
      <c r="H1825" s="2" t="s">
        <v>2573</v>
      </c>
      <c r="I1825" s="2" t="s">
        <v>2444</v>
      </c>
      <c r="J1825" s="2"/>
      <c r="K1825" s="2" t="str">
        <f>HYPERLINK("https://docs.wto.org/imrd/directdoc.asp?DDFDocuments/t/G/SPS/NTPKM299A1.DOC")</f>
        <v>https://docs.wto.org/imrd/directdoc.asp?DDFDocuments/t/G/SPS/NTPKM299A1.DOC</v>
      </c>
      <c r="L1825" s="2" t="str">
        <f>HYPERLINK("https://docs.wto.org/imrd/directdoc.asp?DDFDocuments/u/G/SPS/NTPKM299A1.DOC")</f>
        <v>https://docs.wto.org/imrd/directdoc.asp?DDFDocuments/u/G/SPS/NTPKM299A1.DOC</v>
      </c>
      <c r="M1825" s="2" t="str">
        <f>HYPERLINK("https://docs.wto.org/imrd/directdoc.asp?DDFDocuments/v/G/SPS/NTPKM299A1.DOC")</f>
        <v>https://docs.wto.org/imrd/directdoc.asp?DDFDocuments/v/G/SPS/NTPKM299A1.DOC</v>
      </c>
      <c r="N1825" s="2" t="str">
        <f>HYPERLINK("http://www.epingalert.org/#/details/G/SPS/N/TPKM/299/Add.1")</f>
        <v>http://www.epingalert.org/#/details/G/SPS/N/TPKM/299/Add.1</v>
      </c>
      <c r="O1825" s="2"/>
    </row>
    <row r="1826" spans="1:15" ht="240" customHeight="1" outlineLevel="1" x14ac:dyDescent="0.25">
      <c r="A1826" s="2" t="s">
        <v>225</v>
      </c>
      <c r="B1826" s="2" t="s">
        <v>6292</v>
      </c>
      <c r="C1826" s="2" t="s">
        <v>6293</v>
      </c>
      <c r="D1826" s="2" t="s">
        <v>2494</v>
      </c>
      <c r="E1826" s="3">
        <v>41684</v>
      </c>
      <c r="F1826" s="2" t="s">
        <v>2430</v>
      </c>
      <c r="G1826" s="2"/>
      <c r="H1826" s="2" t="s">
        <v>2573</v>
      </c>
      <c r="I1826" s="2" t="s">
        <v>2431</v>
      </c>
      <c r="J1826" s="3">
        <v>41746</v>
      </c>
      <c r="K1826" s="2" t="str">
        <f>HYPERLINK("https://docs.wto.org/imrd/directdoc.asp?DDFDocuments/t/G/SPS/NAUS336.DOC")</f>
        <v>https://docs.wto.org/imrd/directdoc.asp?DDFDocuments/t/G/SPS/NAUS336.DOC</v>
      </c>
      <c r="L1826" s="2" t="str">
        <f>HYPERLINK("https://docs.wto.org/imrd/directdoc.asp?DDFDocuments/u/G/SPS/NAUS336.DOC")</f>
        <v>https://docs.wto.org/imrd/directdoc.asp?DDFDocuments/u/G/SPS/NAUS336.DOC</v>
      </c>
      <c r="M1826" s="2" t="str">
        <f>HYPERLINK("https://docs.wto.org/imrd/directdoc.asp?DDFDocuments/v/G/SPS/NAUS336.DOC")</f>
        <v>https://docs.wto.org/imrd/directdoc.asp?DDFDocuments/v/G/SPS/NAUS336.DOC</v>
      </c>
      <c r="N1826" s="2" t="str">
        <f>HYPERLINK("http://www.epingalert.org/#/details/G/SPS/N/AUS/336")</f>
        <v>http://www.epingalert.org/#/details/G/SPS/N/AUS/336</v>
      </c>
      <c r="O1826" s="2"/>
    </row>
    <row r="1827" spans="1:15" ht="240" customHeight="1" outlineLevel="1" x14ac:dyDescent="0.25">
      <c r="A1827" s="2" t="s">
        <v>562</v>
      </c>
      <c r="B1827" s="2" t="s">
        <v>6289</v>
      </c>
      <c r="C1827" s="2" t="s">
        <v>1377</v>
      </c>
      <c r="D1827" s="2" t="s">
        <v>6290</v>
      </c>
      <c r="E1827" s="3">
        <v>41684</v>
      </c>
      <c r="F1827" s="2" t="s">
        <v>46</v>
      </c>
      <c r="G1827" s="2"/>
      <c r="H1827" s="2" t="s">
        <v>2573</v>
      </c>
      <c r="I1827" s="2" t="s">
        <v>6291</v>
      </c>
      <c r="J1827" s="3">
        <v>41744</v>
      </c>
      <c r="K1827" s="2" t="str">
        <f>HYPERLINK("https://docs.wto.org/imrd/directdoc.asp?DDFDocuments/t/G/SPS/NSGP52.DOC")</f>
        <v>https://docs.wto.org/imrd/directdoc.asp?DDFDocuments/t/G/SPS/NSGP52.DOC</v>
      </c>
      <c r="L1827" s="2" t="str">
        <f>HYPERLINK("https://docs.wto.org/imrd/directdoc.asp?DDFDocuments/u/G/SPS/NSGP52.DOC")</f>
        <v>https://docs.wto.org/imrd/directdoc.asp?DDFDocuments/u/G/SPS/NSGP52.DOC</v>
      </c>
      <c r="M1827" s="2" t="str">
        <f>HYPERLINK("https://docs.wto.org/imrd/directdoc.asp?DDFDocuments/v/G/SPS/NSGP52.DOC")</f>
        <v>https://docs.wto.org/imrd/directdoc.asp?DDFDocuments/v/G/SPS/NSGP52.DOC</v>
      </c>
      <c r="N1827" s="2" t="str">
        <f>HYPERLINK("http://www.epingalert.org/#/details/G/SPS/N/SGP/52")</f>
        <v>http://www.epingalert.org/#/details/G/SPS/N/SGP/52</v>
      </c>
      <c r="O1827" s="2"/>
    </row>
    <row r="1828" spans="1:15" ht="240" customHeight="1" outlineLevel="1" x14ac:dyDescent="0.25">
      <c r="A1828" s="2" t="s">
        <v>1488</v>
      </c>
      <c r="B1828" s="2" t="s">
        <v>8725</v>
      </c>
      <c r="C1828" s="2" t="s">
        <v>8726</v>
      </c>
      <c r="D1828" s="2" t="s">
        <v>8727</v>
      </c>
      <c r="E1828" s="3">
        <v>41684</v>
      </c>
      <c r="F1828" s="2" t="s">
        <v>8728</v>
      </c>
      <c r="G1828" s="2" t="s">
        <v>2049</v>
      </c>
      <c r="H1828" s="2" t="s">
        <v>2573</v>
      </c>
      <c r="I1828" s="2" t="s">
        <v>6503</v>
      </c>
      <c r="J1828" s="3">
        <v>41741</v>
      </c>
      <c r="K1828" s="2" t="str">
        <f>HYPERLINK("https://docs.wto.org/imrd/directdoc.asp?DDFDocuments/t/G/SPS/NMEX255.DOC")</f>
        <v>https://docs.wto.org/imrd/directdoc.asp?DDFDocuments/t/G/SPS/NMEX255.DOC</v>
      </c>
      <c r="L1828" s="2" t="str">
        <f>HYPERLINK("https://docs.wto.org/imrd/directdoc.asp?DDFDocuments/u/G/SPS/NMEX255.DOC")</f>
        <v>https://docs.wto.org/imrd/directdoc.asp?DDFDocuments/u/G/SPS/NMEX255.DOC</v>
      </c>
      <c r="M1828" s="2" t="str">
        <f>HYPERLINK("https://docs.wto.org/imrd/directdoc.asp?DDFDocuments/v/G/SPS/NMEX255.DOC")</f>
        <v>https://docs.wto.org/imrd/directdoc.asp?DDFDocuments/v/G/SPS/NMEX255.DOC</v>
      </c>
      <c r="N1828" s="2" t="str">
        <f>HYPERLINK("http://www.epingalert.org/#/details/G/SPS/N/MEX/255")</f>
        <v>http://www.epingalert.org/#/details/G/SPS/N/MEX/255</v>
      </c>
      <c r="O1828" s="2"/>
    </row>
    <row r="1829" spans="1:15" ht="240" customHeight="1" outlineLevel="1" x14ac:dyDescent="0.25">
      <c r="A1829" s="2" t="s">
        <v>115</v>
      </c>
      <c r="B1829" s="2" t="s">
        <v>8732</v>
      </c>
      <c r="C1829" s="2" t="s">
        <v>7507</v>
      </c>
      <c r="D1829" s="2" t="s">
        <v>8733</v>
      </c>
      <c r="E1829" s="3">
        <v>41683</v>
      </c>
      <c r="F1829" s="2" t="s">
        <v>7046</v>
      </c>
      <c r="G1829" s="2" t="s">
        <v>8734</v>
      </c>
      <c r="H1829" s="2" t="s">
        <v>2573</v>
      </c>
      <c r="I1829" s="2" t="s">
        <v>2453</v>
      </c>
      <c r="J1829" s="3">
        <v>41743</v>
      </c>
      <c r="K1829" s="2" t="str">
        <f>HYPERLINK("https://docs.wto.org/imrd/directdoc.asp?DDFDocuments/t/G/SPS/NJPN325R1.DOC")</f>
        <v>https://docs.wto.org/imrd/directdoc.asp?DDFDocuments/t/G/SPS/NJPN325R1.DOC</v>
      </c>
      <c r="L1829" s="2" t="str">
        <f>HYPERLINK("https://docs.wto.org/imrd/directdoc.asp?DDFDocuments/u/G/SPS/NJPN325R1.DOC")</f>
        <v>https://docs.wto.org/imrd/directdoc.asp?DDFDocuments/u/G/SPS/NJPN325R1.DOC</v>
      </c>
      <c r="M1829" s="2" t="str">
        <f>HYPERLINK("https://docs.wto.org/imrd/directdoc.asp?DDFDocuments/v/G/SPS/NJPN325R1.DOC")</f>
        <v>https://docs.wto.org/imrd/directdoc.asp?DDFDocuments/v/G/SPS/NJPN325R1.DOC</v>
      </c>
      <c r="N1829" s="2" t="str">
        <f>HYPERLINK("http://www.epingalert.org/#/details/G/SPS/N/JPN/325/Rev.1")</f>
        <v>http://www.epingalert.org/#/details/G/SPS/N/JPN/325/Rev.1</v>
      </c>
      <c r="O1829" s="2"/>
    </row>
    <row r="1830" spans="1:15" ht="240" customHeight="1" outlineLevel="1" x14ac:dyDescent="0.25">
      <c r="A1830" s="2" t="s">
        <v>115</v>
      </c>
      <c r="B1830" s="2" t="s">
        <v>8735</v>
      </c>
      <c r="C1830" s="2" t="s">
        <v>7507</v>
      </c>
      <c r="D1830" s="2" t="s">
        <v>8736</v>
      </c>
      <c r="E1830" s="3">
        <v>41683</v>
      </c>
      <c r="F1830" s="2" t="s">
        <v>8737</v>
      </c>
      <c r="G1830" s="2" t="s">
        <v>8738</v>
      </c>
      <c r="H1830" s="2" t="s">
        <v>2573</v>
      </c>
      <c r="I1830" s="2" t="s">
        <v>2453</v>
      </c>
      <c r="J1830" s="3">
        <v>41743</v>
      </c>
      <c r="K1830" s="2" t="str">
        <f>HYPERLINK("https://docs.wto.org/imrd/directdoc.asp?DDFDocuments/t/G/SPS/NJPN333.DOC")</f>
        <v>https://docs.wto.org/imrd/directdoc.asp?DDFDocuments/t/G/SPS/NJPN333.DOC</v>
      </c>
      <c r="L1830" s="2" t="str">
        <f>HYPERLINK("https://docs.wto.org/imrd/directdoc.asp?DDFDocuments/u/G/SPS/NJPN333.DOC")</f>
        <v>https://docs.wto.org/imrd/directdoc.asp?DDFDocuments/u/G/SPS/NJPN333.DOC</v>
      </c>
      <c r="M1830" s="2" t="str">
        <f>HYPERLINK("https://docs.wto.org/imrd/directdoc.asp?DDFDocuments/v/G/SPS/NJPN333.DOC")</f>
        <v>https://docs.wto.org/imrd/directdoc.asp?DDFDocuments/v/G/SPS/NJPN333.DOC</v>
      </c>
      <c r="N1830" s="2" t="str">
        <f>HYPERLINK("http://www.epingalert.org/#/details/G/SPS/N/JPN/333")</f>
        <v>http://www.epingalert.org/#/details/G/SPS/N/JPN/333</v>
      </c>
      <c r="O1830" s="2"/>
    </row>
    <row r="1831" spans="1:15" ht="240" customHeight="1" outlineLevel="1" x14ac:dyDescent="0.25">
      <c r="A1831" s="2" t="s">
        <v>2930</v>
      </c>
      <c r="B1831" s="2" t="s">
        <v>6294</v>
      </c>
      <c r="C1831" s="2" t="s">
        <v>6295</v>
      </c>
      <c r="D1831" s="2" t="s">
        <v>6296</v>
      </c>
      <c r="E1831" s="3">
        <v>41683</v>
      </c>
      <c r="F1831" s="2" t="s">
        <v>6297</v>
      </c>
      <c r="G1831" s="2"/>
      <c r="H1831" s="2" t="s">
        <v>2573</v>
      </c>
      <c r="I1831" s="2" t="s">
        <v>2426</v>
      </c>
      <c r="J1831" s="2"/>
      <c r="K1831" s="2" t="str">
        <f>HYPERLINK("https://docs.wto.org/imrd/directdoc.asp?DDFDocuments/t/G/SPS/NLKA36.DOC")</f>
        <v>https://docs.wto.org/imrd/directdoc.asp?DDFDocuments/t/G/SPS/NLKA36.DOC</v>
      </c>
      <c r="L1831" s="2" t="str">
        <f>HYPERLINK("https://docs.wto.org/imrd/directdoc.asp?DDFDocuments/u/G/SPS/NLKA36.DOC")</f>
        <v>https://docs.wto.org/imrd/directdoc.asp?DDFDocuments/u/G/SPS/NLKA36.DOC</v>
      </c>
      <c r="M1831" s="2" t="str">
        <f>HYPERLINK("https://docs.wto.org/imrd/directdoc.asp?DDFDocuments/v/G/SPS/NLKA36.DOC")</f>
        <v>https://docs.wto.org/imrd/directdoc.asp?DDFDocuments/v/G/SPS/NLKA36.DOC</v>
      </c>
      <c r="N1831" s="2" t="str">
        <f>HYPERLINK("http://www.epingalert.org/#/details/G/SPS/N/LKA/36")</f>
        <v>http://www.epingalert.org/#/details/G/SPS/N/LKA/36</v>
      </c>
      <c r="O1831" s="2"/>
    </row>
    <row r="1832" spans="1:15" ht="240" customHeight="1" outlineLevel="1" x14ac:dyDescent="0.25">
      <c r="A1832" s="2" t="s">
        <v>18</v>
      </c>
      <c r="B1832" s="2" t="s">
        <v>8729</v>
      </c>
      <c r="C1832" s="2"/>
      <c r="D1832" s="2"/>
      <c r="E1832" s="3">
        <v>41683</v>
      </c>
      <c r="F1832" s="2" t="s">
        <v>8730</v>
      </c>
      <c r="G1832" s="2" t="s">
        <v>8731</v>
      </c>
      <c r="H1832" s="2" t="s">
        <v>2467</v>
      </c>
      <c r="I1832" s="2" t="s">
        <v>2491</v>
      </c>
      <c r="J1832" s="2"/>
      <c r="K1832" s="2" t="str">
        <f>HYPERLINK("https://docs.wto.org/imrd/directdoc.asp?DDFDocuments/t/G/SPS/NUSA2247A2.DOC")</f>
        <v>https://docs.wto.org/imrd/directdoc.asp?DDFDocuments/t/G/SPS/NUSA2247A2.DOC</v>
      </c>
      <c r="L1832" s="2" t="str">
        <f>HYPERLINK("https://docs.wto.org/imrd/directdoc.asp?DDFDocuments/u/G/SPS/NUSA2247A2.DOC")</f>
        <v>https://docs.wto.org/imrd/directdoc.asp?DDFDocuments/u/G/SPS/NUSA2247A2.DOC</v>
      </c>
      <c r="M1832" s="2" t="str">
        <f>HYPERLINK("https://docs.wto.org/imrd/directdoc.asp?DDFDocuments/v/G/SPS/NUSA2247A2.DOC")</f>
        <v>https://docs.wto.org/imrd/directdoc.asp?DDFDocuments/v/G/SPS/NUSA2247A2.DOC</v>
      </c>
      <c r="N1832" s="2" t="str">
        <f>HYPERLINK("http://www.epingalert.org/#/details/G/SPS/N/USA/2247/Add.2")</f>
        <v>http://www.epingalert.org/#/details/G/SPS/N/USA/2247/Add.2</v>
      </c>
      <c r="O1832" s="2"/>
    </row>
    <row r="1833" spans="1:15" ht="240" customHeight="1" outlineLevel="1" x14ac:dyDescent="0.25">
      <c r="A1833" s="2" t="s">
        <v>8739</v>
      </c>
      <c r="B1833" s="2" t="s">
        <v>8740</v>
      </c>
      <c r="C1833" s="2" t="s">
        <v>8741</v>
      </c>
      <c r="D1833" s="2" t="s">
        <v>8742</v>
      </c>
      <c r="E1833" s="3">
        <v>41683</v>
      </c>
      <c r="F1833" s="2" t="s">
        <v>8743</v>
      </c>
      <c r="G1833" s="2" t="s">
        <v>8744</v>
      </c>
      <c r="H1833" s="2" t="s">
        <v>2573</v>
      </c>
      <c r="I1833" s="2" t="s">
        <v>8745</v>
      </c>
      <c r="J1833" s="2"/>
      <c r="K1833" s="2" t="str">
        <f>HYPERLINK("https://docs.wto.org/imrd/directdoc.asp?DDFDocuments/t/G/SPS/NBDI3.DOC")</f>
        <v>https://docs.wto.org/imrd/directdoc.asp?DDFDocuments/t/G/SPS/NBDI3.DOC</v>
      </c>
      <c r="L1833" s="2" t="str">
        <f>HYPERLINK("https://docs.wto.org/imrd/directdoc.asp?DDFDocuments/u/G/SPS/NBDI3.DOC")</f>
        <v>https://docs.wto.org/imrd/directdoc.asp?DDFDocuments/u/G/SPS/NBDI3.DOC</v>
      </c>
      <c r="M1833" s="2" t="str">
        <f>HYPERLINK("https://docs.wto.org/imrd/directdoc.asp?DDFDocuments/v/G/SPS/NBDI3.DOC")</f>
        <v>https://docs.wto.org/imrd/directdoc.asp?DDFDocuments/v/G/SPS/NBDI3.DOC</v>
      </c>
      <c r="N1833" s="2" t="str">
        <f>HYPERLINK("http://www.epingalert.org/#/details/G/SPS/N/BDI/3")</f>
        <v>http://www.epingalert.org/#/details/G/SPS/N/BDI/3</v>
      </c>
      <c r="O1833" s="2"/>
    </row>
    <row r="1834" spans="1:15" ht="240" customHeight="1" outlineLevel="1" x14ac:dyDescent="0.25">
      <c r="A1834" s="2" t="s">
        <v>18</v>
      </c>
      <c r="B1834" s="2" t="s">
        <v>8746</v>
      </c>
      <c r="C1834" s="2"/>
      <c r="D1834" s="2"/>
      <c r="E1834" s="3">
        <v>41682</v>
      </c>
      <c r="F1834" s="2" t="s">
        <v>8747</v>
      </c>
      <c r="G1834" s="2" t="s">
        <v>2790</v>
      </c>
      <c r="H1834" s="2" t="s">
        <v>2573</v>
      </c>
      <c r="I1834" s="2" t="s">
        <v>2444</v>
      </c>
      <c r="J1834" s="3">
        <v>41725</v>
      </c>
      <c r="K1834" s="2" t="str">
        <f>HYPERLINK("https://docs.wto.org/imrd/directdoc.asp?DDFDocuments/t/G/SPS/NUSA701A2.DOC")</f>
        <v>https://docs.wto.org/imrd/directdoc.asp?DDFDocuments/t/G/SPS/NUSA701A2.DOC</v>
      </c>
      <c r="L1834" s="2" t="str">
        <f>HYPERLINK("https://docs.wto.org/imrd/directdoc.asp?DDFDocuments/u/G/SPS/NUSA701A2.DOC")</f>
        <v>https://docs.wto.org/imrd/directdoc.asp?DDFDocuments/u/G/SPS/NUSA701A2.DOC</v>
      </c>
      <c r="M1834" s="2" t="str">
        <f>HYPERLINK("https://docs.wto.org/imrd/directdoc.asp?DDFDocuments/v/G/SPS/NUSA701A2.DOC")</f>
        <v>https://docs.wto.org/imrd/directdoc.asp?DDFDocuments/v/G/SPS/NUSA701A2.DOC</v>
      </c>
      <c r="N1834" s="2" t="str">
        <f>HYPERLINK("http://www.epingalert.org/#/details/G/SPS/N/USA/701/Add.2")</f>
        <v>http://www.epingalert.org/#/details/G/SPS/N/USA/701/Add.2</v>
      </c>
      <c r="O1834" s="2"/>
    </row>
    <row r="1835" spans="1:15" ht="240" customHeight="1" outlineLevel="1" x14ac:dyDescent="0.25">
      <c r="A1835" s="2" t="s">
        <v>1216</v>
      </c>
      <c r="B1835" s="2" t="s">
        <v>8748</v>
      </c>
      <c r="C1835" s="2" t="s">
        <v>8749</v>
      </c>
      <c r="D1835" s="2" t="s">
        <v>8750</v>
      </c>
      <c r="E1835" s="3">
        <v>41681</v>
      </c>
      <c r="F1835" s="2" t="s">
        <v>8751</v>
      </c>
      <c r="G1835" s="2" t="s">
        <v>8277</v>
      </c>
      <c r="H1835" s="2" t="s">
        <v>2467</v>
      </c>
      <c r="I1835" s="2" t="s">
        <v>7149</v>
      </c>
      <c r="J1835" s="2"/>
      <c r="K1835" s="2" t="str">
        <f>HYPERLINK("https://docs.wto.org/imrd/directdoc.asp?DDFDocuments/t/G/SPS/NUKR93.DOC")</f>
        <v>https://docs.wto.org/imrd/directdoc.asp?DDFDocuments/t/G/SPS/NUKR93.DOC</v>
      </c>
      <c r="L1835" s="2" t="str">
        <f>HYPERLINK("https://docs.wto.org/imrd/directdoc.asp?DDFDocuments/u/G/SPS/NUKR93.DOC")</f>
        <v>https://docs.wto.org/imrd/directdoc.asp?DDFDocuments/u/G/SPS/NUKR93.DOC</v>
      </c>
      <c r="M1835" s="2" t="str">
        <f>HYPERLINK("https://docs.wto.org/imrd/directdoc.asp?DDFDocuments/v/G/SPS/NUKR93.DOC")</f>
        <v>https://docs.wto.org/imrd/directdoc.asp?DDFDocuments/v/G/SPS/NUKR93.DOC</v>
      </c>
      <c r="N1835" s="2" t="str">
        <f>HYPERLINK("http://www.epingalert.org/#/details/G/SPS/N/UKR/93")</f>
        <v>http://www.epingalert.org/#/details/G/SPS/N/UKR/93</v>
      </c>
      <c r="O1835" s="2"/>
    </row>
    <row r="1836" spans="1:15" ht="240" customHeight="1" outlineLevel="1" x14ac:dyDescent="0.25">
      <c r="A1836" s="2" t="s">
        <v>18</v>
      </c>
      <c r="B1836" s="2" t="s">
        <v>6302</v>
      </c>
      <c r="C1836" s="2" t="s">
        <v>6303</v>
      </c>
      <c r="D1836" s="2" t="s">
        <v>6304</v>
      </c>
      <c r="E1836" s="3">
        <v>41680</v>
      </c>
      <c r="F1836" s="2" t="s">
        <v>2972</v>
      </c>
      <c r="G1836" s="2" t="s">
        <v>6305</v>
      </c>
      <c r="H1836" s="2" t="s">
        <v>2573</v>
      </c>
      <c r="I1836" s="2" t="s">
        <v>3081</v>
      </c>
      <c r="J1836" s="3">
        <v>41790</v>
      </c>
      <c r="K1836" s="2" t="str">
        <f>HYPERLINK("https://docs.wto.org/imrd/directdoc.asp?DDFDocuments/t/G/SPS/NUSA2631.DOC")</f>
        <v>https://docs.wto.org/imrd/directdoc.asp?DDFDocuments/t/G/SPS/NUSA2631.DOC</v>
      </c>
      <c r="L1836" s="2" t="str">
        <f>HYPERLINK("https://docs.wto.org/imrd/directdoc.asp?DDFDocuments/u/G/SPS/NUSA2631.DOC")</f>
        <v>https://docs.wto.org/imrd/directdoc.asp?DDFDocuments/u/G/SPS/NUSA2631.DOC</v>
      </c>
      <c r="M1836" s="2" t="str">
        <f>HYPERLINK("https://docs.wto.org/imrd/directdoc.asp?DDFDocuments/v/G/SPS/NUSA2631.DOC")</f>
        <v>https://docs.wto.org/imrd/directdoc.asp?DDFDocuments/v/G/SPS/NUSA2631.DOC</v>
      </c>
      <c r="N1836" s="2" t="str">
        <f>HYPERLINK("http://www.epingalert.org/#/details/G/SPS/N/USA/2631")</f>
        <v>http://www.epingalert.org/#/details/G/SPS/N/USA/2631</v>
      </c>
      <c r="O1836" s="2"/>
    </row>
    <row r="1837" spans="1:15" ht="240" customHeight="1" outlineLevel="1" x14ac:dyDescent="0.25">
      <c r="A1837" s="2" t="s">
        <v>173</v>
      </c>
      <c r="B1837" s="2" t="s">
        <v>6306</v>
      </c>
      <c r="C1837" s="2" t="s">
        <v>6307</v>
      </c>
      <c r="D1837" s="2" t="s">
        <v>6308</v>
      </c>
      <c r="E1837" s="3">
        <v>41680</v>
      </c>
      <c r="F1837" s="8" t="s">
        <v>6309</v>
      </c>
      <c r="G1837" s="2"/>
      <c r="H1837" s="2" t="s">
        <v>2573</v>
      </c>
      <c r="I1837" s="2" t="s">
        <v>2426</v>
      </c>
      <c r="J1837" s="3">
        <v>41740</v>
      </c>
      <c r="K1837" s="2" t="str">
        <f>HYPERLINK("https://docs.wto.org/imrd/directdoc.asp?DDFDocuments/t/G/SPS/NSAU95.DOC")</f>
        <v>https://docs.wto.org/imrd/directdoc.asp?DDFDocuments/t/G/SPS/NSAU95.DOC</v>
      </c>
      <c r="L1837" s="2" t="str">
        <f>HYPERLINK("https://docs.wto.org/imrd/directdoc.asp?DDFDocuments/u/G/SPS/NSAU95.DOC")</f>
        <v>https://docs.wto.org/imrd/directdoc.asp?DDFDocuments/u/G/SPS/NSAU95.DOC</v>
      </c>
      <c r="M1837" s="2" t="str">
        <f>HYPERLINK("https://docs.wto.org/imrd/directdoc.asp?DDFDocuments/v/G/SPS/NSAU95.DOC")</f>
        <v>https://docs.wto.org/imrd/directdoc.asp?DDFDocuments/v/G/SPS/NSAU95.DOC</v>
      </c>
      <c r="N1837" s="2" t="str">
        <f>HYPERLINK("http://www.epingalert.org/#/details/G/SPS/N/SAU/95")</f>
        <v>http://www.epingalert.org/#/details/G/SPS/N/SAU/95</v>
      </c>
      <c r="O1837" s="2" t="s">
        <v>8882</v>
      </c>
    </row>
    <row r="1838" spans="1:15" ht="240" customHeight="1" outlineLevel="1" x14ac:dyDescent="0.25">
      <c r="A1838" s="2" t="s">
        <v>173</v>
      </c>
      <c r="B1838" s="2" t="s">
        <v>6310</v>
      </c>
      <c r="C1838" s="2" t="s">
        <v>6311</v>
      </c>
      <c r="D1838" s="2" t="s">
        <v>6312</v>
      </c>
      <c r="E1838" s="3">
        <v>41680</v>
      </c>
      <c r="F1838" s="8" t="s">
        <v>6313</v>
      </c>
      <c r="G1838" s="2"/>
      <c r="H1838" s="2" t="s">
        <v>2648</v>
      </c>
      <c r="I1838" s="2" t="s">
        <v>2453</v>
      </c>
      <c r="J1838" s="3">
        <v>41740</v>
      </c>
      <c r="K1838" s="2" t="str">
        <f>HYPERLINK("https://docs.wto.org/imrd/directdoc.asp?DDFDocuments/t/G/SPS/NSAU94.DOC")</f>
        <v>https://docs.wto.org/imrd/directdoc.asp?DDFDocuments/t/G/SPS/NSAU94.DOC</v>
      </c>
      <c r="L1838" s="2" t="str">
        <f>HYPERLINK("https://docs.wto.org/imrd/directdoc.asp?DDFDocuments/u/G/SPS/NSAU94.DOC")</f>
        <v>https://docs.wto.org/imrd/directdoc.asp?DDFDocuments/u/G/SPS/NSAU94.DOC</v>
      </c>
      <c r="M1838" s="2" t="str">
        <f>HYPERLINK("https://docs.wto.org/imrd/directdoc.asp?DDFDocuments/v/G/SPS/NSAU94.DOC")</f>
        <v>https://docs.wto.org/imrd/directdoc.asp?DDFDocuments/v/G/SPS/NSAU94.DOC</v>
      </c>
      <c r="N1838" s="2" t="str">
        <f>HYPERLINK("http://www.epingalert.org/#/details/G/SPS/N/SAU/94")</f>
        <v>http://www.epingalert.org/#/details/G/SPS/N/SAU/94</v>
      </c>
      <c r="O1838" s="2" t="s">
        <v>8882</v>
      </c>
    </row>
    <row r="1839" spans="1:15" ht="240" customHeight="1" outlineLevel="1" x14ac:dyDescent="0.25">
      <c r="A1839" s="2" t="s">
        <v>42</v>
      </c>
      <c r="B1839" s="2" t="s">
        <v>6298</v>
      </c>
      <c r="C1839" s="2"/>
      <c r="D1839" s="2"/>
      <c r="E1839" s="3">
        <v>41680</v>
      </c>
      <c r="F1839" s="2" t="s">
        <v>6299</v>
      </c>
      <c r="G1839" s="2"/>
      <c r="H1839" s="2" t="s">
        <v>2573</v>
      </c>
      <c r="I1839" s="2" t="s">
        <v>2672</v>
      </c>
      <c r="J1839" s="3">
        <v>41697</v>
      </c>
      <c r="K1839" s="2" t="str">
        <f>HYPERLINK("https://docs.wto.org/imrd/directdoc.asp?DDFDocuments/t/G/SPS/NBRA923A1.DOC")</f>
        <v>https://docs.wto.org/imrd/directdoc.asp?DDFDocuments/t/G/SPS/NBRA923A1.DOC</v>
      </c>
      <c r="L1839" s="2" t="str">
        <f>HYPERLINK("https://docs.wto.org/imrd/directdoc.asp?DDFDocuments/u/G/SPS/NBRA923A1.DOC")</f>
        <v>https://docs.wto.org/imrd/directdoc.asp?DDFDocuments/u/G/SPS/NBRA923A1.DOC</v>
      </c>
      <c r="M1839" s="2" t="str">
        <f>HYPERLINK("https://docs.wto.org/imrd/directdoc.asp?DDFDocuments/v/G/SPS/NBRA923A1.DOC")</f>
        <v>https://docs.wto.org/imrd/directdoc.asp?DDFDocuments/v/G/SPS/NBRA923A1.DOC</v>
      </c>
      <c r="N1839" s="2" t="str">
        <f>HYPERLINK("http://www.epingalert.org/#/details/G/SPS/N/BRA/923/Add.1")</f>
        <v>http://www.epingalert.org/#/details/G/SPS/N/BRA/923/Add.1</v>
      </c>
      <c r="O1839" s="2"/>
    </row>
    <row r="1840" spans="1:15" ht="240" customHeight="1" outlineLevel="1" x14ac:dyDescent="0.25">
      <c r="A1840" s="2" t="s">
        <v>42</v>
      </c>
      <c r="B1840" s="2" t="s">
        <v>6300</v>
      </c>
      <c r="C1840" s="2"/>
      <c r="D1840" s="2"/>
      <c r="E1840" s="3">
        <v>41680</v>
      </c>
      <c r="F1840" s="2" t="s">
        <v>6301</v>
      </c>
      <c r="G1840" s="2"/>
      <c r="H1840" s="2" t="s">
        <v>2573</v>
      </c>
      <c r="I1840" s="2" t="s">
        <v>2672</v>
      </c>
      <c r="J1840" s="3">
        <v>41697</v>
      </c>
      <c r="K1840" s="2" t="str">
        <f>HYPERLINK("https://docs.wto.org/imrd/directdoc.asp?DDFDocuments/t/G/SPS/NBRA921A1.DOC")</f>
        <v>https://docs.wto.org/imrd/directdoc.asp?DDFDocuments/t/G/SPS/NBRA921A1.DOC</v>
      </c>
      <c r="L1840" s="2" t="str">
        <f>HYPERLINK("https://docs.wto.org/imrd/directdoc.asp?DDFDocuments/u/G/SPS/NBRA921A1.DOC")</f>
        <v>https://docs.wto.org/imrd/directdoc.asp?DDFDocuments/u/G/SPS/NBRA921A1.DOC</v>
      </c>
      <c r="M1840" s="2" t="str">
        <f>HYPERLINK("https://docs.wto.org/imrd/directdoc.asp?DDFDocuments/v/G/SPS/NBRA921A1.DOC")</f>
        <v>https://docs.wto.org/imrd/directdoc.asp?DDFDocuments/v/G/SPS/NBRA921A1.DOC</v>
      </c>
      <c r="N1840" s="2" t="str">
        <f>HYPERLINK("http://www.epingalert.org/#/details/G/SPS/N/BRA/921/Add.1")</f>
        <v>http://www.epingalert.org/#/details/G/SPS/N/BRA/921/Add.1</v>
      </c>
      <c r="O1840" s="2"/>
    </row>
    <row r="1841" spans="1:15" ht="240" customHeight="1" outlineLevel="1" x14ac:dyDescent="0.25">
      <c r="A1841" s="2" t="s">
        <v>282</v>
      </c>
      <c r="B1841" s="2" t="s">
        <v>8752</v>
      </c>
      <c r="C1841" s="2"/>
      <c r="D1841" s="2"/>
      <c r="E1841" s="3">
        <v>41680</v>
      </c>
      <c r="F1841" s="2" t="s">
        <v>8573</v>
      </c>
      <c r="G1841" s="2" t="s">
        <v>8753</v>
      </c>
      <c r="H1841" s="2" t="s">
        <v>2648</v>
      </c>
      <c r="I1841" s="2" t="s">
        <v>2491</v>
      </c>
      <c r="J1841" s="2"/>
      <c r="K1841" s="2" t="str">
        <f>HYPERLINK("https://docs.wto.org/imrd/directdoc.asp?DDFDocuments/t/G/SPS/NRUS45A1.DOC")</f>
        <v>https://docs.wto.org/imrd/directdoc.asp?DDFDocuments/t/G/SPS/NRUS45A1.DOC</v>
      </c>
      <c r="L1841" s="2" t="str">
        <f>HYPERLINK("https://docs.wto.org/imrd/directdoc.asp?DDFDocuments/u/G/SPS/NRUS45A1.DOC")</f>
        <v>https://docs.wto.org/imrd/directdoc.asp?DDFDocuments/u/G/SPS/NRUS45A1.DOC</v>
      </c>
      <c r="M1841" s="2" t="str">
        <f>HYPERLINK("https://docs.wto.org/imrd/directdoc.asp?DDFDocuments/v/G/SPS/NRUS45A1.DOC")</f>
        <v>https://docs.wto.org/imrd/directdoc.asp?DDFDocuments/v/G/SPS/NRUS45A1.DOC</v>
      </c>
      <c r="N1841" s="2" t="str">
        <f>HYPERLINK("http://www.epingalert.org/#/details/G/SPS/N/RUS/45/Add.1")</f>
        <v>http://www.epingalert.org/#/details/G/SPS/N/RUS/45/Add.1</v>
      </c>
      <c r="O1841" s="2"/>
    </row>
    <row r="1842" spans="1:15" ht="240" customHeight="1" outlineLevel="1" x14ac:dyDescent="0.25">
      <c r="A1842" s="2" t="s">
        <v>282</v>
      </c>
      <c r="B1842" s="2" t="s">
        <v>8754</v>
      </c>
      <c r="C1842" s="2"/>
      <c r="D1842" s="2"/>
      <c r="E1842" s="3">
        <v>41680</v>
      </c>
      <c r="F1842" s="2" t="s">
        <v>8755</v>
      </c>
      <c r="G1842" s="2" t="s">
        <v>8756</v>
      </c>
      <c r="H1842" s="2" t="s">
        <v>2573</v>
      </c>
      <c r="I1842" s="2" t="s">
        <v>2491</v>
      </c>
      <c r="J1842" s="2"/>
      <c r="K1842" s="2" t="str">
        <f>HYPERLINK("https://docs.wto.org/imrd/directdoc.asp?DDFDocuments/t/G/SPS/NRUS35A4.DOC")</f>
        <v>https://docs.wto.org/imrd/directdoc.asp?DDFDocuments/t/G/SPS/NRUS35A4.DOC</v>
      </c>
      <c r="L1842" s="2" t="str">
        <f>HYPERLINK("https://docs.wto.org/imrd/directdoc.asp?DDFDocuments/u/G/SPS/NRUS35A4.DOC")</f>
        <v>https://docs.wto.org/imrd/directdoc.asp?DDFDocuments/u/G/SPS/NRUS35A4.DOC</v>
      </c>
      <c r="M1842" s="2" t="str">
        <f>HYPERLINK("https://docs.wto.org/imrd/directdoc.asp?DDFDocuments/v/G/SPS/NRUS35A4.DOC")</f>
        <v>https://docs.wto.org/imrd/directdoc.asp?DDFDocuments/v/G/SPS/NRUS35A4.DOC</v>
      </c>
      <c r="N1842" s="2" t="str">
        <f>HYPERLINK("http://www.epingalert.org/#/details/G/SPS/N/RUS/35/Add.4")</f>
        <v>http://www.epingalert.org/#/details/G/SPS/N/RUS/35/Add.4</v>
      </c>
      <c r="O1842" s="2"/>
    </row>
    <row r="1843" spans="1:15" ht="240" customHeight="1" outlineLevel="1" x14ac:dyDescent="0.25">
      <c r="A1843" s="2" t="s">
        <v>181</v>
      </c>
      <c r="B1843" s="2" t="s">
        <v>8759</v>
      </c>
      <c r="C1843" s="2" t="s">
        <v>8760</v>
      </c>
      <c r="D1843" s="2" t="s">
        <v>8761</v>
      </c>
      <c r="E1843" s="3">
        <v>41677</v>
      </c>
      <c r="F1843" s="2" t="s">
        <v>8762</v>
      </c>
      <c r="G1843" s="2" t="s">
        <v>8763</v>
      </c>
      <c r="H1843" s="2" t="s">
        <v>2573</v>
      </c>
      <c r="I1843" s="2" t="s">
        <v>4496</v>
      </c>
      <c r="J1843" s="3">
        <v>41737</v>
      </c>
      <c r="K1843" s="2" t="str">
        <f>HYPERLINK("https://docs.wto.org/imrd/directdoc.asp?DDFDocuments/t/G/SPS/NBHR151.DOC")</f>
        <v>https://docs.wto.org/imrd/directdoc.asp?DDFDocuments/t/G/SPS/NBHR151.DOC</v>
      </c>
      <c r="L1843" s="2" t="str">
        <f>HYPERLINK("https://docs.wto.org/imrd/directdoc.asp?DDFDocuments/u/G/SPS/NBHR151.DOC")</f>
        <v>https://docs.wto.org/imrd/directdoc.asp?DDFDocuments/u/G/SPS/NBHR151.DOC</v>
      </c>
      <c r="M1843" s="2" t="str">
        <f>HYPERLINK("https://docs.wto.org/imrd/directdoc.asp?DDFDocuments/v/G/SPS/NBHR151.DOC")</f>
        <v>https://docs.wto.org/imrd/directdoc.asp?DDFDocuments/v/G/SPS/NBHR151.DOC</v>
      </c>
      <c r="N1843" s="2" t="str">
        <f>HYPERLINK("http://www.epingalert.org/#/details/G/SPS/N/BHR/151")</f>
        <v>http://www.epingalert.org/#/details/G/SPS/N/BHR/151</v>
      </c>
      <c r="O1843" s="2"/>
    </row>
    <row r="1844" spans="1:15" ht="240" customHeight="1" outlineLevel="1" x14ac:dyDescent="0.25">
      <c r="A1844" s="2" t="s">
        <v>282</v>
      </c>
      <c r="B1844" s="2" t="s">
        <v>8757</v>
      </c>
      <c r="C1844" s="2"/>
      <c r="D1844" s="2"/>
      <c r="E1844" s="3">
        <v>41677</v>
      </c>
      <c r="F1844" s="2" t="s">
        <v>8755</v>
      </c>
      <c r="G1844" s="2" t="s">
        <v>8758</v>
      </c>
      <c r="H1844" s="2" t="s">
        <v>2573</v>
      </c>
      <c r="I1844" s="2" t="s">
        <v>2491</v>
      </c>
      <c r="J1844" s="2"/>
      <c r="K1844" s="2" t="str">
        <f>HYPERLINK("https://docs.wto.org/imrd/directdoc.asp?DDFDocuments/t/G/SPS/NRUS35A3.DOC")</f>
        <v>https://docs.wto.org/imrd/directdoc.asp?DDFDocuments/t/G/SPS/NRUS35A3.DOC</v>
      </c>
      <c r="L1844" s="2" t="str">
        <f>HYPERLINK("https://docs.wto.org/imrd/directdoc.asp?DDFDocuments/u/G/SPS/NRUS35A3.DOC")</f>
        <v>https://docs.wto.org/imrd/directdoc.asp?DDFDocuments/u/G/SPS/NRUS35A3.DOC</v>
      </c>
      <c r="M1844" s="2" t="str">
        <f>HYPERLINK("https://docs.wto.org/imrd/directdoc.asp?DDFDocuments/v/G/SPS/NRUS35A3.DOC")</f>
        <v>https://docs.wto.org/imrd/directdoc.asp?DDFDocuments/v/G/SPS/NRUS35A3.DOC</v>
      </c>
      <c r="N1844" s="2" t="str">
        <f>HYPERLINK("http://www.epingalert.org/#/details/G/SPS/N/RUS/35/Add.3")</f>
        <v>http://www.epingalert.org/#/details/G/SPS/N/RUS/35/Add.3</v>
      </c>
      <c r="O1844" s="2"/>
    </row>
    <row r="1845" spans="1:15" ht="240" customHeight="1" outlineLevel="1" x14ac:dyDescent="0.25">
      <c r="A1845" s="2" t="s">
        <v>181</v>
      </c>
      <c r="B1845" s="2" t="s">
        <v>6314</v>
      </c>
      <c r="C1845" s="2" t="s">
        <v>6315</v>
      </c>
      <c r="D1845" s="2" t="s">
        <v>6316</v>
      </c>
      <c r="E1845" s="3">
        <v>41676</v>
      </c>
      <c r="F1845" s="2" t="s">
        <v>6317</v>
      </c>
      <c r="G1845" s="2"/>
      <c r="H1845" s="2" t="s">
        <v>2573</v>
      </c>
      <c r="I1845" s="2" t="s">
        <v>2461</v>
      </c>
      <c r="J1845" s="3">
        <v>41736</v>
      </c>
      <c r="K1845" s="2" t="str">
        <f>HYPERLINK("https://docs.wto.org/imrd/directdoc.asp?DDFDocuments/t/G/SPS/NBHR142.DOC")</f>
        <v>https://docs.wto.org/imrd/directdoc.asp?DDFDocuments/t/G/SPS/NBHR142.DOC</v>
      </c>
      <c r="L1845" s="2" t="str">
        <f>HYPERLINK("https://docs.wto.org/imrd/directdoc.asp?DDFDocuments/u/G/SPS/NBHR142.DOC")</f>
        <v>https://docs.wto.org/imrd/directdoc.asp?DDFDocuments/u/G/SPS/NBHR142.DOC</v>
      </c>
      <c r="M1845" s="2" t="str">
        <f>HYPERLINK("https://docs.wto.org/imrd/directdoc.asp?DDFDocuments/v/G/SPS/NBHR142.DOC")</f>
        <v>https://docs.wto.org/imrd/directdoc.asp?DDFDocuments/v/G/SPS/NBHR142.DOC</v>
      </c>
      <c r="N1845" s="2" t="str">
        <f>HYPERLINK("http://www.epingalert.org/#/details/G/SPS/N/BHR/142")</f>
        <v>http://www.epingalert.org/#/details/G/SPS/N/BHR/142</v>
      </c>
      <c r="O1845" s="2"/>
    </row>
    <row r="1846" spans="1:15" ht="240" customHeight="1" outlineLevel="1" x14ac:dyDescent="0.25">
      <c r="A1846" s="2" t="s">
        <v>181</v>
      </c>
      <c r="B1846" s="2" t="s">
        <v>6318</v>
      </c>
      <c r="C1846" s="2" t="s">
        <v>6319</v>
      </c>
      <c r="D1846" s="2" t="s">
        <v>6320</v>
      </c>
      <c r="E1846" s="3">
        <v>41676</v>
      </c>
      <c r="F1846" s="2" t="s">
        <v>6321</v>
      </c>
      <c r="G1846" s="2" t="s">
        <v>2661</v>
      </c>
      <c r="H1846" s="2" t="s">
        <v>2573</v>
      </c>
      <c r="I1846" s="2" t="s">
        <v>2461</v>
      </c>
      <c r="J1846" s="3">
        <v>41736</v>
      </c>
      <c r="K1846" s="2" t="str">
        <f>HYPERLINK("https://docs.wto.org/imrd/directdoc.asp?DDFDocuments/t/G/SPS/NBHR137.DOC")</f>
        <v>https://docs.wto.org/imrd/directdoc.asp?DDFDocuments/t/G/SPS/NBHR137.DOC</v>
      </c>
      <c r="L1846" s="2" t="str">
        <f>HYPERLINK("https://docs.wto.org/imrd/directdoc.asp?DDFDocuments/u/G/SPS/NBHR137.DOC")</f>
        <v>https://docs.wto.org/imrd/directdoc.asp?DDFDocuments/u/G/SPS/NBHR137.DOC</v>
      </c>
      <c r="M1846" s="2" t="str">
        <f>HYPERLINK("https://docs.wto.org/imrd/directdoc.asp?DDFDocuments/v/G/SPS/NBHR137.DOC")</f>
        <v>https://docs.wto.org/imrd/directdoc.asp?DDFDocuments/v/G/SPS/NBHR137.DOC</v>
      </c>
      <c r="N1846" s="2" t="str">
        <f>HYPERLINK("http://www.epingalert.org/#/details/G/SPS/N/BHR/137")</f>
        <v>http://www.epingalert.org/#/details/G/SPS/N/BHR/137</v>
      </c>
      <c r="O1846" s="2"/>
    </row>
    <row r="1847" spans="1:15" ht="240" customHeight="1" outlineLevel="1" x14ac:dyDescent="0.25">
      <c r="A1847" s="2" t="s">
        <v>181</v>
      </c>
      <c r="B1847" s="2" t="s">
        <v>8764</v>
      </c>
      <c r="C1847" s="2" t="s">
        <v>8765</v>
      </c>
      <c r="D1847" s="2" t="s">
        <v>8766</v>
      </c>
      <c r="E1847" s="3">
        <v>41676</v>
      </c>
      <c r="F1847" s="2" t="s">
        <v>8767</v>
      </c>
      <c r="G1847" s="2" t="s">
        <v>8768</v>
      </c>
      <c r="H1847" s="2" t="s">
        <v>2573</v>
      </c>
      <c r="I1847" s="2" t="s">
        <v>4496</v>
      </c>
      <c r="J1847" s="3">
        <v>41736</v>
      </c>
      <c r="K1847" s="2" t="str">
        <f>HYPERLINK("https://docs.wto.org/imrd/directdoc.asp?DDFDocuments/t/G/SPS/NBHR148.DOC")</f>
        <v>https://docs.wto.org/imrd/directdoc.asp?DDFDocuments/t/G/SPS/NBHR148.DOC</v>
      </c>
      <c r="L1847" s="2" t="str">
        <f>HYPERLINK("https://docs.wto.org/imrd/directdoc.asp?DDFDocuments/u/G/SPS/NBHR148.DOC")</f>
        <v>https://docs.wto.org/imrd/directdoc.asp?DDFDocuments/u/G/SPS/NBHR148.DOC</v>
      </c>
      <c r="M1847" s="2" t="str">
        <f>HYPERLINK("https://docs.wto.org/imrd/directdoc.asp?DDFDocuments/v/G/SPS/NBHR148.DOC")</f>
        <v>https://docs.wto.org/imrd/directdoc.asp?DDFDocuments/v/G/SPS/NBHR148.DOC</v>
      </c>
      <c r="N1847" s="2" t="str">
        <f>HYPERLINK("http://www.epingalert.org/#/details/G/SPS/N/BHR/148")</f>
        <v>http://www.epingalert.org/#/details/G/SPS/N/BHR/148</v>
      </c>
      <c r="O1847" s="2"/>
    </row>
    <row r="1848" spans="1:15" ht="240" customHeight="1" outlineLevel="1" x14ac:dyDescent="0.25">
      <c r="A1848" s="2" t="s">
        <v>181</v>
      </c>
      <c r="B1848" s="2" t="s">
        <v>8769</v>
      </c>
      <c r="C1848" s="2" t="s">
        <v>8770</v>
      </c>
      <c r="D1848" s="2" t="s">
        <v>8771</v>
      </c>
      <c r="E1848" s="3">
        <v>41676</v>
      </c>
      <c r="F1848" s="2" t="s">
        <v>8772</v>
      </c>
      <c r="G1848" s="2" t="s">
        <v>8773</v>
      </c>
      <c r="H1848" s="2" t="s">
        <v>2573</v>
      </c>
      <c r="I1848" s="2" t="s">
        <v>4496</v>
      </c>
      <c r="J1848" s="3">
        <v>41736</v>
      </c>
      <c r="K1848" s="2" t="str">
        <f>HYPERLINK("https://docs.wto.org/imrd/directdoc.asp?DDFDocuments/t/G/SPS/NBHR147.DOC")</f>
        <v>https://docs.wto.org/imrd/directdoc.asp?DDFDocuments/t/G/SPS/NBHR147.DOC</v>
      </c>
      <c r="L1848" s="2" t="str">
        <f>HYPERLINK("https://docs.wto.org/imrd/directdoc.asp?DDFDocuments/u/G/SPS/NBHR147.DOC")</f>
        <v>https://docs.wto.org/imrd/directdoc.asp?DDFDocuments/u/G/SPS/NBHR147.DOC</v>
      </c>
      <c r="M1848" s="2" t="str">
        <f>HYPERLINK("https://docs.wto.org/imrd/directdoc.asp?DDFDocuments/v/G/SPS/NBHR147.DOC")</f>
        <v>https://docs.wto.org/imrd/directdoc.asp?DDFDocuments/v/G/SPS/NBHR147.DOC</v>
      </c>
      <c r="N1848" s="2" t="str">
        <f>HYPERLINK("http://www.epingalert.org/#/details/G/SPS/N/BHR/147")</f>
        <v>http://www.epingalert.org/#/details/G/SPS/N/BHR/147</v>
      </c>
      <c r="O1848" s="2"/>
    </row>
    <row r="1849" spans="1:15" ht="240" customHeight="1" outlineLevel="1" x14ac:dyDescent="0.25">
      <c r="A1849" s="2" t="s">
        <v>181</v>
      </c>
      <c r="B1849" s="2" t="s">
        <v>8774</v>
      </c>
      <c r="C1849" s="2" t="s">
        <v>8775</v>
      </c>
      <c r="D1849" s="2" t="s">
        <v>8776</v>
      </c>
      <c r="E1849" s="3">
        <v>41676</v>
      </c>
      <c r="F1849" s="2" t="s">
        <v>8777</v>
      </c>
      <c r="G1849" s="2" t="s">
        <v>2262</v>
      </c>
      <c r="H1849" s="2" t="s">
        <v>2573</v>
      </c>
      <c r="I1849" s="2" t="s">
        <v>4496</v>
      </c>
      <c r="J1849" s="3">
        <v>41736</v>
      </c>
      <c r="K1849" s="2" t="str">
        <f>HYPERLINK("https://docs.wto.org/imrd/directdoc.asp?DDFDocuments/t/G/SPS/NBHR146.DOC")</f>
        <v>https://docs.wto.org/imrd/directdoc.asp?DDFDocuments/t/G/SPS/NBHR146.DOC</v>
      </c>
      <c r="L1849" s="2" t="str">
        <f>HYPERLINK("https://docs.wto.org/imrd/directdoc.asp?DDFDocuments/u/G/SPS/NBHR146.DOC")</f>
        <v>https://docs.wto.org/imrd/directdoc.asp?DDFDocuments/u/G/SPS/NBHR146.DOC</v>
      </c>
      <c r="M1849" s="2" t="str">
        <f>HYPERLINK("https://docs.wto.org/imrd/directdoc.asp?DDFDocuments/v/G/SPS/NBHR146.DOC")</f>
        <v>https://docs.wto.org/imrd/directdoc.asp?DDFDocuments/v/G/SPS/NBHR146.DOC</v>
      </c>
      <c r="N1849" s="2" t="str">
        <f>HYPERLINK("http://www.epingalert.org/#/details/G/SPS/N/BHR/146")</f>
        <v>http://www.epingalert.org/#/details/G/SPS/N/BHR/146</v>
      </c>
      <c r="O1849" s="2"/>
    </row>
    <row r="1850" spans="1:15" ht="240" customHeight="1" outlineLevel="1" x14ac:dyDescent="0.25">
      <c r="A1850" s="2" t="s">
        <v>181</v>
      </c>
      <c r="B1850" s="2" t="s">
        <v>8778</v>
      </c>
      <c r="C1850" s="2" t="s">
        <v>8779</v>
      </c>
      <c r="D1850" s="2" t="s">
        <v>8780</v>
      </c>
      <c r="E1850" s="3">
        <v>41676</v>
      </c>
      <c r="F1850" s="2" t="s">
        <v>8781</v>
      </c>
      <c r="G1850" s="2" t="s">
        <v>8782</v>
      </c>
      <c r="H1850" s="2" t="s">
        <v>2573</v>
      </c>
      <c r="I1850" s="2" t="s">
        <v>4496</v>
      </c>
      <c r="J1850" s="3">
        <v>41736</v>
      </c>
      <c r="K1850" s="2" t="str">
        <f>HYPERLINK("https://docs.wto.org/imrd/directdoc.asp?DDFDocuments/t/G/SPS/NBHR145.DOC")</f>
        <v>https://docs.wto.org/imrd/directdoc.asp?DDFDocuments/t/G/SPS/NBHR145.DOC</v>
      </c>
      <c r="L1850" s="2" t="str">
        <f>HYPERLINK("https://docs.wto.org/imrd/directdoc.asp?DDFDocuments/u/G/SPS/NBHR145.DOC")</f>
        <v>https://docs.wto.org/imrd/directdoc.asp?DDFDocuments/u/G/SPS/NBHR145.DOC</v>
      </c>
      <c r="M1850" s="2" t="str">
        <f>HYPERLINK("https://docs.wto.org/imrd/directdoc.asp?DDFDocuments/v/G/SPS/NBHR145.DOC")</f>
        <v>https://docs.wto.org/imrd/directdoc.asp?DDFDocuments/v/G/SPS/NBHR145.DOC</v>
      </c>
      <c r="N1850" s="2" t="str">
        <f>HYPERLINK("http://www.epingalert.org/#/details/G/SPS/N/BHR/145")</f>
        <v>http://www.epingalert.org/#/details/G/SPS/N/BHR/145</v>
      </c>
      <c r="O1850" s="2"/>
    </row>
    <row r="1851" spans="1:15" ht="240" customHeight="1" outlineLevel="1" x14ac:dyDescent="0.25">
      <c r="A1851" s="2" t="s">
        <v>181</v>
      </c>
      <c r="B1851" s="2" t="s">
        <v>8783</v>
      </c>
      <c r="C1851" s="2" t="s">
        <v>8784</v>
      </c>
      <c r="D1851" s="2" t="s">
        <v>8785</v>
      </c>
      <c r="E1851" s="3">
        <v>41676</v>
      </c>
      <c r="F1851" s="2" t="s">
        <v>8786</v>
      </c>
      <c r="G1851" s="2" t="s">
        <v>2292</v>
      </c>
      <c r="H1851" s="2" t="s">
        <v>2573</v>
      </c>
      <c r="I1851" s="2" t="s">
        <v>4496</v>
      </c>
      <c r="J1851" s="3">
        <v>41736</v>
      </c>
      <c r="K1851" s="2" t="str">
        <f>HYPERLINK("https://docs.wto.org/imrd/directdoc.asp?DDFDocuments/t/G/SPS/NBHR144.DOC")</f>
        <v>https://docs.wto.org/imrd/directdoc.asp?DDFDocuments/t/G/SPS/NBHR144.DOC</v>
      </c>
      <c r="L1851" s="2" t="str">
        <f>HYPERLINK("https://docs.wto.org/imrd/directdoc.asp?DDFDocuments/u/G/SPS/NBHR144.DOC")</f>
        <v>https://docs.wto.org/imrd/directdoc.asp?DDFDocuments/u/G/SPS/NBHR144.DOC</v>
      </c>
      <c r="M1851" s="2" t="str">
        <f>HYPERLINK("https://docs.wto.org/imrd/directdoc.asp?DDFDocuments/v/G/SPS/NBHR144.DOC")</f>
        <v>https://docs.wto.org/imrd/directdoc.asp?DDFDocuments/v/G/SPS/NBHR144.DOC</v>
      </c>
      <c r="N1851" s="2" t="str">
        <f>HYPERLINK("http://www.epingalert.org/#/details/G/SPS/N/BHR/144")</f>
        <v>http://www.epingalert.org/#/details/G/SPS/N/BHR/144</v>
      </c>
      <c r="O1851" s="2"/>
    </row>
    <row r="1852" spans="1:15" ht="240" customHeight="1" outlineLevel="1" x14ac:dyDescent="0.25">
      <c r="A1852" s="2" t="s">
        <v>181</v>
      </c>
      <c r="B1852" s="2" t="s">
        <v>8787</v>
      </c>
      <c r="C1852" s="2" t="s">
        <v>8788</v>
      </c>
      <c r="D1852" s="2" t="s">
        <v>8789</v>
      </c>
      <c r="E1852" s="3">
        <v>41676</v>
      </c>
      <c r="F1852" s="2" t="s">
        <v>8790</v>
      </c>
      <c r="G1852" s="2" t="s">
        <v>7944</v>
      </c>
      <c r="H1852" s="2" t="s">
        <v>2573</v>
      </c>
      <c r="I1852" s="2" t="s">
        <v>2461</v>
      </c>
      <c r="J1852" s="3">
        <v>41736</v>
      </c>
      <c r="K1852" s="2" t="str">
        <f>HYPERLINK("https://docs.wto.org/imrd/directdoc.asp?DDFDocuments/t/G/SPS/NBHR135.DOC")</f>
        <v>https://docs.wto.org/imrd/directdoc.asp?DDFDocuments/t/G/SPS/NBHR135.DOC</v>
      </c>
      <c r="L1852" s="2" t="str">
        <f>HYPERLINK("https://docs.wto.org/imrd/directdoc.asp?DDFDocuments/u/G/SPS/NBHR135.DOC")</f>
        <v>https://docs.wto.org/imrd/directdoc.asp?DDFDocuments/u/G/SPS/NBHR135.DOC</v>
      </c>
      <c r="M1852" s="2" t="str">
        <f>HYPERLINK("https://docs.wto.org/imrd/directdoc.asp?DDFDocuments/v/G/SPS/NBHR135.DOC")</f>
        <v>https://docs.wto.org/imrd/directdoc.asp?DDFDocuments/v/G/SPS/NBHR135.DOC</v>
      </c>
      <c r="N1852" s="2" t="str">
        <f>HYPERLINK("http://www.epingalert.org/#/details/G/SPS/N/BHR/135")</f>
        <v>http://www.epingalert.org/#/details/G/SPS/N/BHR/135</v>
      </c>
      <c r="O1852" s="2"/>
    </row>
    <row r="1853" spans="1:15" ht="240" customHeight="1" outlineLevel="1" x14ac:dyDescent="0.25">
      <c r="A1853" s="2" t="s">
        <v>181</v>
      </c>
      <c r="B1853" s="2" t="s">
        <v>8791</v>
      </c>
      <c r="C1853" s="2" t="s">
        <v>8792</v>
      </c>
      <c r="D1853" s="2" t="s">
        <v>8793</v>
      </c>
      <c r="E1853" s="3">
        <v>41676</v>
      </c>
      <c r="F1853" s="2" t="s">
        <v>8794</v>
      </c>
      <c r="G1853" s="2" t="s">
        <v>8795</v>
      </c>
      <c r="H1853" s="2" t="s">
        <v>2573</v>
      </c>
      <c r="I1853" s="2" t="s">
        <v>2461</v>
      </c>
      <c r="J1853" s="3">
        <v>41736</v>
      </c>
      <c r="K1853" s="2" t="str">
        <f>HYPERLINK("https://docs.wto.org/imrd/directdoc.asp?DDFDocuments/t/G/SPS/NBHR134.DOC")</f>
        <v>https://docs.wto.org/imrd/directdoc.asp?DDFDocuments/t/G/SPS/NBHR134.DOC</v>
      </c>
      <c r="L1853" s="2" t="str">
        <f>HYPERLINK("https://docs.wto.org/imrd/directdoc.asp?DDFDocuments/u/G/SPS/NBHR134.DOC")</f>
        <v>https://docs.wto.org/imrd/directdoc.asp?DDFDocuments/u/G/SPS/NBHR134.DOC</v>
      </c>
      <c r="M1853" s="2" t="str">
        <f>HYPERLINK("https://docs.wto.org/imrd/directdoc.asp?DDFDocuments/v/G/SPS/NBHR134.DOC")</f>
        <v>https://docs.wto.org/imrd/directdoc.asp?DDFDocuments/v/G/SPS/NBHR134.DOC</v>
      </c>
      <c r="N1853" s="2" t="str">
        <f>HYPERLINK("http://www.epingalert.org/#/details/G/SPS/N/BHR/134")</f>
        <v>http://www.epingalert.org/#/details/G/SPS/N/BHR/134</v>
      </c>
      <c r="O1853" s="2"/>
    </row>
    <row r="1854" spans="1:15" ht="240" customHeight="1" outlineLevel="1" x14ac:dyDescent="0.25">
      <c r="A1854" s="2" t="s">
        <v>181</v>
      </c>
      <c r="B1854" s="2" t="s">
        <v>8796</v>
      </c>
      <c r="C1854" s="2" t="s">
        <v>8797</v>
      </c>
      <c r="D1854" s="2" t="s">
        <v>8798</v>
      </c>
      <c r="E1854" s="3">
        <v>41676</v>
      </c>
      <c r="F1854" s="2" t="s">
        <v>8799</v>
      </c>
      <c r="G1854" s="2" t="s">
        <v>2381</v>
      </c>
      <c r="H1854" s="2" t="s">
        <v>2573</v>
      </c>
      <c r="I1854" s="2" t="s">
        <v>2461</v>
      </c>
      <c r="J1854" s="3">
        <v>41736</v>
      </c>
      <c r="K1854" s="2" t="str">
        <f>HYPERLINK("https://docs.wto.org/imrd/directdoc.asp?DDFDocuments/t/G/SPS/NBHR131.DOC")</f>
        <v>https://docs.wto.org/imrd/directdoc.asp?DDFDocuments/t/G/SPS/NBHR131.DOC</v>
      </c>
      <c r="L1854" s="2" t="str">
        <f>HYPERLINK("https://docs.wto.org/imrd/directdoc.asp?DDFDocuments/u/G/SPS/NBHR131.DOC")</f>
        <v>https://docs.wto.org/imrd/directdoc.asp?DDFDocuments/u/G/SPS/NBHR131.DOC</v>
      </c>
      <c r="M1854" s="2" t="str">
        <f>HYPERLINK("https://docs.wto.org/imrd/directdoc.asp?DDFDocuments/v/G/SPS/NBHR131.DOC")</f>
        <v>https://docs.wto.org/imrd/directdoc.asp?DDFDocuments/v/G/SPS/NBHR131.DOC</v>
      </c>
      <c r="N1854" s="2" t="str">
        <f>HYPERLINK("http://www.epingalert.org/#/details/G/SPS/N/BHR/131")</f>
        <v>http://www.epingalert.org/#/details/G/SPS/N/BHR/131</v>
      </c>
      <c r="O1854" s="2"/>
    </row>
    <row r="1855" spans="1:15" ht="240" customHeight="1" outlineLevel="1" x14ac:dyDescent="0.25">
      <c r="A1855" s="2" t="s">
        <v>181</v>
      </c>
      <c r="B1855" s="2" t="s">
        <v>6326</v>
      </c>
      <c r="C1855" s="2" t="s">
        <v>6327</v>
      </c>
      <c r="D1855" s="2" t="s">
        <v>6328</v>
      </c>
      <c r="E1855" s="3">
        <v>41674</v>
      </c>
      <c r="F1855" s="2" t="s">
        <v>6329</v>
      </c>
      <c r="G1855" s="2" t="s">
        <v>5456</v>
      </c>
      <c r="H1855" s="2" t="s">
        <v>2573</v>
      </c>
      <c r="I1855" s="2" t="s">
        <v>2461</v>
      </c>
      <c r="J1855" s="3">
        <v>41734</v>
      </c>
      <c r="K1855" s="2" t="str">
        <f>HYPERLINK("https://docs.wto.org/imrd/directdoc.asp?DDFDocuments/t/G/SPS/NBHR128.DOC")</f>
        <v>https://docs.wto.org/imrd/directdoc.asp?DDFDocuments/t/G/SPS/NBHR128.DOC</v>
      </c>
      <c r="L1855" s="2" t="str">
        <f>HYPERLINK("https://docs.wto.org/imrd/directdoc.asp?DDFDocuments/u/G/SPS/NBHR128.DOC")</f>
        <v>https://docs.wto.org/imrd/directdoc.asp?DDFDocuments/u/G/SPS/NBHR128.DOC</v>
      </c>
      <c r="M1855" s="2" t="str">
        <f>HYPERLINK("https://docs.wto.org/imrd/directdoc.asp?DDFDocuments/v/G/SPS/NBHR128.DOC")</f>
        <v>https://docs.wto.org/imrd/directdoc.asp?DDFDocuments/v/G/SPS/NBHR128.DOC</v>
      </c>
      <c r="N1855" s="2" t="str">
        <f>HYPERLINK("http://www.epingalert.org/#/details/G/SPS/N/BHR/128")</f>
        <v>http://www.epingalert.org/#/details/G/SPS/N/BHR/128</v>
      </c>
      <c r="O1855" s="2"/>
    </row>
    <row r="1856" spans="1:15" ht="240" customHeight="1" outlineLevel="1" x14ac:dyDescent="0.25">
      <c r="A1856" s="2" t="s">
        <v>181</v>
      </c>
      <c r="B1856" s="2" t="s">
        <v>8800</v>
      </c>
      <c r="C1856" s="2" t="s">
        <v>8801</v>
      </c>
      <c r="D1856" s="2" t="s">
        <v>8802</v>
      </c>
      <c r="E1856" s="3">
        <v>41674</v>
      </c>
      <c r="F1856" s="2" t="s">
        <v>8803</v>
      </c>
      <c r="G1856" s="2" t="s">
        <v>8804</v>
      </c>
      <c r="H1856" s="2" t="s">
        <v>2573</v>
      </c>
      <c r="I1856" s="2" t="s">
        <v>2461</v>
      </c>
      <c r="J1856" s="3">
        <v>41734</v>
      </c>
      <c r="K1856" s="2" t="str">
        <f>HYPERLINK("https://docs.wto.org/imrd/directdoc.asp?DDFDocuments/t/G/SPS/NBHR127.DOC")</f>
        <v>https://docs.wto.org/imrd/directdoc.asp?DDFDocuments/t/G/SPS/NBHR127.DOC</v>
      </c>
      <c r="L1856" s="2" t="str">
        <f>HYPERLINK("https://docs.wto.org/imrd/directdoc.asp?DDFDocuments/u/G/SPS/NBHR127.DOC")</f>
        <v>https://docs.wto.org/imrd/directdoc.asp?DDFDocuments/u/G/SPS/NBHR127.DOC</v>
      </c>
      <c r="M1856" s="2" t="str">
        <f>HYPERLINK("https://docs.wto.org/imrd/directdoc.asp?DDFDocuments/v/G/SPS/NBHR127.DOC")</f>
        <v>https://docs.wto.org/imrd/directdoc.asp?DDFDocuments/v/G/SPS/NBHR127.DOC</v>
      </c>
      <c r="N1856" s="2" t="str">
        <f>HYPERLINK("http://www.epingalert.org/#/details/G/SPS/N/BHR/127")</f>
        <v>http://www.epingalert.org/#/details/G/SPS/N/BHR/127</v>
      </c>
      <c r="O1856" s="2"/>
    </row>
    <row r="1857" spans="1:15" ht="240" customHeight="1" outlineLevel="1" x14ac:dyDescent="0.25">
      <c r="A1857" s="2" t="s">
        <v>42</v>
      </c>
      <c r="B1857" s="2" t="s">
        <v>6322</v>
      </c>
      <c r="C1857" s="2"/>
      <c r="D1857" s="2"/>
      <c r="E1857" s="3">
        <v>41674</v>
      </c>
      <c r="F1857" s="2" t="s">
        <v>6323</v>
      </c>
      <c r="G1857" s="2"/>
      <c r="H1857" s="2" t="s">
        <v>2573</v>
      </c>
      <c r="I1857" s="2" t="s">
        <v>2672</v>
      </c>
      <c r="J1857" s="3">
        <v>41697</v>
      </c>
      <c r="K1857" s="2" t="str">
        <f>HYPERLINK("https://docs.wto.org/imrd/directdoc.asp?DDFDocuments/t/G/SPS/NBRA918A1.DOC")</f>
        <v>https://docs.wto.org/imrd/directdoc.asp?DDFDocuments/t/G/SPS/NBRA918A1.DOC</v>
      </c>
      <c r="L1857" s="2" t="str">
        <f>HYPERLINK("https://docs.wto.org/imrd/directdoc.asp?DDFDocuments/u/G/SPS/NBRA918A1.DOC")</f>
        <v>https://docs.wto.org/imrd/directdoc.asp?DDFDocuments/u/G/SPS/NBRA918A1.DOC</v>
      </c>
      <c r="M1857" s="2" t="str">
        <f>HYPERLINK("https://docs.wto.org/imrd/directdoc.asp?DDFDocuments/v/G/SPS/NBRA918A1.DOC")</f>
        <v>https://docs.wto.org/imrd/directdoc.asp?DDFDocuments/v/G/SPS/NBRA918A1.DOC</v>
      </c>
      <c r="N1857" s="2" t="str">
        <f>HYPERLINK("http://www.epingalert.org/#/details/G/SPS/N/BRA/918/Add.1")</f>
        <v>http://www.epingalert.org/#/details/G/SPS/N/BRA/918/Add.1</v>
      </c>
      <c r="O1857" s="2"/>
    </row>
    <row r="1858" spans="1:15" ht="240" customHeight="1" outlineLevel="1" x14ac:dyDescent="0.25">
      <c r="A1858" s="2" t="s">
        <v>42</v>
      </c>
      <c r="B1858" s="2" t="s">
        <v>6324</v>
      </c>
      <c r="C1858" s="2"/>
      <c r="D1858" s="2"/>
      <c r="E1858" s="3">
        <v>41674</v>
      </c>
      <c r="F1858" s="2" t="s">
        <v>6325</v>
      </c>
      <c r="G1858" s="2"/>
      <c r="H1858" s="2" t="s">
        <v>2573</v>
      </c>
      <c r="I1858" s="2" t="s">
        <v>2672</v>
      </c>
      <c r="J1858" s="3">
        <v>41697</v>
      </c>
      <c r="K1858" s="2" t="str">
        <f>HYPERLINK("https://docs.wto.org/imrd/directdoc.asp?DDFDocuments/t/G/SPS/NBRA916A1.DOC")</f>
        <v>https://docs.wto.org/imrd/directdoc.asp?DDFDocuments/t/G/SPS/NBRA916A1.DOC</v>
      </c>
      <c r="L1858" s="2" t="str">
        <f>HYPERLINK("https://docs.wto.org/imrd/directdoc.asp?DDFDocuments/u/G/SPS/NBRA916A1.DOC")</f>
        <v>https://docs.wto.org/imrd/directdoc.asp?DDFDocuments/u/G/SPS/NBRA916A1.DOC</v>
      </c>
      <c r="M1858" s="2" t="str">
        <f>HYPERLINK("https://docs.wto.org/imrd/directdoc.asp?DDFDocuments/v/G/SPS/NBRA916A1.DOC")</f>
        <v>https://docs.wto.org/imrd/directdoc.asp?DDFDocuments/v/G/SPS/NBRA916A1.DOC</v>
      </c>
      <c r="N1858" s="2" t="str">
        <f>HYPERLINK("http://www.epingalert.org/#/details/G/SPS/N/BRA/916/Add.1")</f>
        <v>http://www.epingalert.org/#/details/G/SPS/N/BRA/916/Add.1</v>
      </c>
      <c r="O1858" s="2"/>
    </row>
    <row r="1859" spans="1:15" ht="240" customHeight="1" outlineLevel="1" x14ac:dyDescent="0.25">
      <c r="A1859" s="2" t="s">
        <v>25</v>
      </c>
      <c r="B1859" s="2" t="s">
        <v>6330</v>
      </c>
      <c r="C1859" s="2" t="s">
        <v>2528</v>
      </c>
      <c r="D1859" s="2" t="s">
        <v>6331</v>
      </c>
      <c r="E1859" s="3">
        <v>41673</v>
      </c>
      <c r="F1859" s="2" t="s">
        <v>299</v>
      </c>
      <c r="G1859" s="2"/>
      <c r="H1859" s="2" t="s">
        <v>2573</v>
      </c>
      <c r="I1859" s="2"/>
      <c r="J1859" s="3">
        <v>41733</v>
      </c>
      <c r="K1859" s="2" t="str">
        <f>HYPERLINK("https://docs.wto.org/imrd/directdoc.asp?DDFDocuments/t/G/SPS/NKOR468.DOC")</f>
        <v>https://docs.wto.org/imrd/directdoc.asp?DDFDocuments/t/G/SPS/NKOR468.DOC</v>
      </c>
      <c r="L1859" s="2" t="str">
        <f>HYPERLINK("https://docs.wto.org/imrd/directdoc.asp?DDFDocuments/u/G/SPS/NKOR468.DOC")</f>
        <v>https://docs.wto.org/imrd/directdoc.asp?DDFDocuments/u/G/SPS/NKOR468.DOC</v>
      </c>
      <c r="M1859" s="2" t="str">
        <f>HYPERLINK("https://docs.wto.org/imrd/directdoc.asp?DDFDocuments/v/G/SPS/NKOR468.DOC")</f>
        <v>https://docs.wto.org/imrd/directdoc.asp?DDFDocuments/v/G/SPS/NKOR468.DOC</v>
      </c>
      <c r="N1859" s="2" t="str">
        <f>HYPERLINK("http://www.epingalert.org/#/details/G/SPS/N/KOR/468")</f>
        <v>http://www.epingalert.org/#/details/G/SPS/N/KOR/468</v>
      </c>
      <c r="O1859" s="2"/>
    </row>
    <row r="1860" spans="1:15" ht="240" customHeight="1" outlineLevel="1" x14ac:dyDescent="0.25">
      <c r="A1860" s="2" t="s">
        <v>225</v>
      </c>
      <c r="B1860" s="2" t="s">
        <v>6332</v>
      </c>
      <c r="C1860" s="2" t="s">
        <v>6333</v>
      </c>
      <c r="D1860" s="2" t="s">
        <v>2494</v>
      </c>
      <c r="E1860" s="3">
        <v>41670</v>
      </c>
      <c r="F1860" s="2" t="s">
        <v>2430</v>
      </c>
      <c r="G1860" s="2"/>
      <c r="H1860" s="2" t="s">
        <v>2573</v>
      </c>
      <c r="I1860" s="2" t="s">
        <v>2431</v>
      </c>
      <c r="J1860" s="3">
        <v>41733</v>
      </c>
      <c r="K1860" s="2" t="str">
        <f>HYPERLINK("https://docs.wto.org/imrd/directdoc.asp?DDFDocuments/t/G/SPS/NAUS333.DOC")</f>
        <v>https://docs.wto.org/imrd/directdoc.asp?DDFDocuments/t/G/SPS/NAUS333.DOC</v>
      </c>
      <c r="L1860" s="2" t="str">
        <f>HYPERLINK("https://docs.wto.org/imrd/directdoc.asp?DDFDocuments/u/G/SPS/NAUS333.DOC")</f>
        <v>https://docs.wto.org/imrd/directdoc.asp?DDFDocuments/u/G/SPS/NAUS333.DOC</v>
      </c>
      <c r="M1860" s="2" t="str">
        <f>HYPERLINK("https://docs.wto.org/imrd/directdoc.asp?DDFDocuments/v/G/SPS/NAUS333.DOC")</f>
        <v>https://docs.wto.org/imrd/directdoc.asp?DDFDocuments/v/G/SPS/NAUS333.DOC</v>
      </c>
      <c r="N1860" s="2" t="str">
        <f>HYPERLINK("http://www.epingalert.org/#/details/G/SPS/N/AUS/333")</f>
        <v>http://www.epingalert.org/#/details/G/SPS/N/AUS/333</v>
      </c>
      <c r="O1860" s="2"/>
    </row>
    <row r="1861" spans="1:15" ht="240" customHeight="1" outlineLevel="1" x14ac:dyDescent="0.25">
      <c r="A1861" s="2" t="s">
        <v>12</v>
      </c>
      <c r="B1861" s="2" t="s">
        <v>8805</v>
      </c>
      <c r="C1861" s="2" t="s">
        <v>8806</v>
      </c>
      <c r="D1861" s="2" t="s">
        <v>8807</v>
      </c>
      <c r="E1861" s="3">
        <v>41670</v>
      </c>
      <c r="F1861" s="2" t="s">
        <v>8808</v>
      </c>
      <c r="G1861" s="2" t="s">
        <v>2039</v>
      </c>
      <c r="H1861" s="2" t="s">
        <v>2648</v>
      </c>
      <c r="I1861" s="2" t="s">
        <v>7296</v>
      </c>
      <c r="J1861" s="2"/>
      <c r="K1861" s="2" t="str">
        <f>HYPERLINK("https://docs.wto.org/imrd/directdoc.asp?DDFDocuments/t/G/SPS/NEU66.DOC")</f>
        <v>https://docs.wto.org/imrd/directdoc.asp?DDFDocuments/t/G/SPS/NEU66.DOC</v>
      </c>
      <c r="L1861" s="2" t="str">
        <f>HYPERLINK("https://docs.wto.org/imrd/directdoc.asp?DDFDocuments/u/G/SPS/NEU66.DOC")</f>
        <v>https://docs.wto.org/imrd/directdoc.asp?DDFDocuments/u/G/SPS/NEU66.DOC</v>
      </c>
      <c r="M1861" s="2" t="str">
        <f>HYPERLINK("https://docs.wto.org/imrd/directdoc.asp?DDFDocuments/v/G/SPS/NEU66.DOC")</f>
        <v>https://docs.wto.org/imrd/directdoc.asp?DDFDocuments/v/G/SPS/NEU66.DOC</v>
      </c>
      <c r="N1861" s="2" t="str">
        <f>HYPERLINK("http://www.epingalert.org/#/details/G/SPS/N/EU/66")</f>
        <v>http://www.epingalert.org/#/details/G/SPS/N/EU/66</v>
      </c>
      <c r="O1861" s="2"/>
    </row>
    <row r="1862" spans="1:15" ht="240" customHeight="1" outlineLevel="1" x14ac:dyDescent="0.25">
      <c r="A1862" s="2" t="s">
        <v>1908</v>
      </c>
      <c r="B1862" s="2" t="s">
        <v>6334</v>
      </c>
      <c r="C1862" s="2" t="s">
        <v>6335</v>
      </c>
      <c r="D1862" s="2" t="s">
        <v>6336</v>
      </c>
      <c r="E1862" s="3">
        <v>41668</v>
      </c>
      <c r="F1862" s="2" t="s">
        <v>2498</v>
      </c>
      <c r="G1862" s="2"/>
      <c r="H1862" s="2" t="s">
        <v>2573</v>
      </c>
      <c r="I1862" s="2" t="s">
        <v>2499</v>
      </c>
      <c r="J1862" s="3">
        <v>41724</v>
      </c>
      <c r="K1862" s="2" t="str">
        <f>HYPERLINK("https://docs.wto.org/imrd/directdoc.asp?DDFDocuments/t/G/SPS/NCAN796.DOC")</f>
        <v>https://docs.wto.org/imrd/directdoc.asp?DDFDocuments/t/G/SPS/NCAN796.DOC</v>
      </c>
      <c r="L1862" s="2" t="str">
        <f>HYPERLINK("https://docs.wto.org/imrd/directdoc.asp?DDFDocuments/u/G/SPS/NCAN796.DOC")</f>
        <v>https://docs.wto.org/imrd/directdoc.asp?DDFDocuments/u/G/SPS/NCAN796.DOC</v>
      </c>
      <c r="M1862" s="2" t="str">
        <f>HYPERLINK("https://docs.wto.org/imrd/directdoc.asp?DDFDocuments/v/G/SPS/NCAN796.DOC")</f>
        <v>https://docs.wto.org/imrd/directdoc.asp?DDFDocuments/v/G/SPS/NCAN796.DOC</v>
      </c>
      <c r="N1862" s="2" t="str">
        <f>HYPERLINK("http://www.epingalert.org/#/details/G/SPS/N/CAN/796")</f>
        <v>http://www.epingalert.org/#/details/G/SPS/N/CAN/796</v>
      </c>
      <c r="O1862" s="2"/>
    </row>
    <row r="1863" spans="1:15" ht="240" customHeight="1" outlineLevel="1" x14ac:dyDescent="0.25">
      <c r="A1863" s="2" t="s">
        <v>2456</v>
      </c>
      <c r="B1863" s="2" t="s">
        <v>6339</v>
      </c>
      <c r="C1863" s="2" t="s">
        <v>6340</v>
      </c>
      <c r="D1863" s="2" t="s">
        <v>6341</v>
      </c>
      <c r="E1863" s="3">
        <v>41667</v>
      </c>
      <c r="F1863" s="2" t="s">
        <v>6342</v>
      </c>
      <c r="G1863" s="2" t="s">
        <v>6343</v>
      </c>
      <c r="H1863" s="2" t="s">
        <v>6344</v>
      </c>
      <c r="I1863" s="2" t="s">
        <v>6345</v>
      </c>
      <c r="J1863" s="3">
        <v>41723</v>
      </c>
      <c r="K1863" s="2" t="str">
        <f>HYPERLINK("https://docs.wto.org/imrd/directdoc.asp?DDFDocuments/t/G/SPS/NNPL20.DOC")</f>
        <v>https://docs.wto.org/imrd/directdoc.asp?DDFDocuments/t/G/SPS/NNPL20.DOC</v>
      </c>
      <c r="L1863" s="2" t="str">
        <f>HYPERLINK("https://docs.wto.org/imrd/directdoc.asp?DDFDocuments/u/G/SPS/NNPL20.DOC")</f>
        <v>https://docs.wto.org/imrd/directdoc.asp?DDFDocuments/u/G/SPS/NNPL20.DOC</v>
      </c>
      <c r="M1863" s="2" t="str">
        <f>HYPERLINK("https://docs.wto.org/imrd/directdoc.asp?DDFDocuments/v/G/SPS/NNPL20.DOC")</f>
        <v>https://docs.wto.org/imrd/directdoc.asp?DDFDocuments/v/G/SPS/NNPL20.DOC</v>
      </c>
      <c r="N1863" s="2" t="str">
        <f>HYPERLINK("http://www.epingalert.org/#/details/G/SPS/N/NPL/20")</f>
        <v>http://www.epingalert.org/#/details/G/SPS/N/NPL/20</v>
      </c>
      <c r="O1863" s="2"/>
    </row>
    <row r="1864" spans="1:15" ht="240" customHeight="1" outlineLevel="1" x14ac:dyDescent="0.25">
      <c r="A1864" s="2" t="s">
        <v>42</v>
      </c>
      <c r="B1864" s="2" t="s">
        <v>6346</v>
      </c>
      <c r="C1864" s="2" t="s">
        <v>6347</v>
      </c>
      <c r="D1864" s="2" t="s">
        <v>6348</v>
      </c>
      <c r="E1864" s="3">
        <v>41667</v>
      </c>
      <c r="F1864" s="2" t="s">
        <v>6299</v>
      </c>
      <c r="G1864" s="2"/>
      <c r="H1864" s="2" t="s">
        <v>2573</v>
      </c>
      <c r="I1864" s="2" t="s">
        <v>2453</v>
      </c>
      <c r="J1864" s="3">
        <v>41666</v>
      </c>
      <c r="K1864" s="2" t="str">
        <f>HYPERLINK("https://docs.wto.org/imrd/directdoc.asp?DDFDocuments/t/G/SPS/NBRA923.DOC")</f>
        <v>https://docs.wto.org/imrd/directdoc.asp?DDFDocuments/t/G/SPS/NBRA923.DOC</v>
      </c>
      <c r="L1864" s="2" t="str">
        <f>HYPERLINK("https://docs.wto.org/imrd/directdoc.asp?DDFDocuments/u/G/SPS/NBRA923.DOC")</f>
        <v>https://docs.wto.org/imrd/directdoc.asp?DDFDocuments/u/G/SPS/NBRA923.DOC</v>
      </c>
      <c r="M1864" s="2" t="str">
        <f>HYPERLINK("https://docs.wto.org/imrd/directdoc.asp?DDFDocuments/v/G/SPS/NBRA923.DOC")</f>
        <v>https://docs.wto.org/imrd/directdoc.asp?DDFDocuments/v/G/SPS/NBRA923.DOC</v>
      </c>
      <c r="N1864" s="2" t="str">
        <f>HYPERLINK("http://www.epingalert.org/#/details/G/SPS/N/BRA/923")</f>
        <v>http://www.epingalert.org/#/details/G/SPS/N/BRA/923</v>
      </c>
      <c r="O1864" s="2"/>
    </row>
    <row r="1865" spans="1:15" ht="240" customHeight="1" outlineLevel="1" x14ac:dyDescent="0.25">
      <c r="A1865" s="2" t="s">
        <v>42</v>
      </c>
      <c r="B1865" s="2" t="s">
        <v>6349</v>
      </c>
      <c r="C1865" s="2" t="s">
        <v>6350</v>
      </c>
      <c r="D1865" s="2" t="s">
        <v>6351</v>
      </c>
      <c r="E1865" s="3">
        <v>41667</v>
      </c>
      <c r="F1865" s="2" t="s">
        <v>6301</v>
      </c>
      <c r="G1865" s="2"/>
      <c r="H1865" s="2" t="s">
        <v>2573</v>
      </c>
      <c r="I1865" s="2" t="s">
        <v>2453</v>
      </c>
      <c r="J1865" s="3">
        <v>41666</v>
      </c>
      <c r="K1865" s="2" t="str">
        <f>HYPERLINK("https://docs.wto.org/imrd/directdoc.asp?DDFDocuments/t/G/SPS/NBRA921.DOC")</f>
        <v>https://docs.wto.org/imrd/directdoc.asp?DDFDocuments/t/G/SPS/NBRA921.DOC</v>
      </c>
      <c r="L1865" s="2" t="str">
        <f>HYPERLINK("https://docs.wto.org/imrd/directdoc.asp?DDFDocuments/u/G/SPS/NBRA921.DOC")</f>
        <v>https://docs.wto.org/imrd/directdoc.asp?DDFDocuments/u/G/SPS/NBRA921.DOC</v>
      </c>
      <c r="M1865" s="2" t="str">
        <f>HYPERLINK("https://docs.wto.org/imrd/directdoc.asp?DDFDocuments/v/G/SPS/NBRA921.DOC")</f>
        <v>https://docs.wto.org/imrd/directdoc.asp?DDFDocuments/v/G/SPS/NBRA921.DOC</v>
      </c>
      <c r="N1865" s="2" t="str">
        <f>HYPERLINK("http://www.epingalert.org/#/details/G/SPS/N/BRA/921")</f>
        <v>http://www.epingalert.org/#/details/G/SPS/N/BRA/921</v>
      </c>
      <c r="O1865" s="2"/>
    </row>
    <row r="1866" spans="1:15" ht="240" customHeight="1" outlineLevel="1" x14ac:dyDescent="0.25">
      <c r="A1866" s="2" t="s">
        <v>12</v>
      </c>
      <c r="B1866" s="2" t="s">
        <v>6337</v>
      </c>
      <c r="C1866" s="2"/>
      <c r="D1866" s="2"/>
      <c r="E1866" s="3">
        <v>41667</v>
      </c>
      <c r="F1866" s="2" t="s">
        <v>2451</v>
      </c>
      <c r="G1866" s="2" t="s">
        <v>6338</v>
      </c>
      <c r="H1866" s="2" t="s">
        <v>2573</v>
      </c>
      <c r="I1866" s="2" t="s">
        <v>2784</v>
      </c>
      <c r="J1866" s="2"/>
      <c r="K1866" s="2" t="str">
        <f>HYPERLINK("https://docs.wto.org/imrd/directdoc.asp?DDFDocuments/t/G/SPS/NEU42A1.DOC")</f>
        <v>https://docs.wto.org/imrd/directdoc.asp?DDFDocuments/t/G/SPS/NEU42A1.DOC</v>
      </c>
      <c r="L1866" s="2" t="str">
        <f>HYPERLINK("https://docs.wto.org/imrd/directdoc.asp?DDFDocuments/u/G/SPS/NEU42A1.DOC")</f>
        <v>https://docs.wto.org/imrd/directdoc.asp?DDFDocuments/u/G/SPS/NEU42A1.DOC</v>
      </c>
      <c r="M1866" s="2" t="str">
        <f>HYPERLINK("https://docs.wto.org/imrd/directdoc.asp?DDFDocuments/v/G/SPS/NEU42A1.DOC")</f>
        <v>https://docs.wto.org/imrd/directdoc.asp?DDFDocuments/v/G/SPS/NEU42A1.DOC</v>
      </c>
      <c r="N1866" s="2" t="str">
        <f>HYPERLINK("http://www.epingalert.org/#/details/G/SPS/N/EU/42/Add.1")</f>
        <v>http://www.epingalert.org/#/details/G/SPS/N/EU/42/Add.1</v>
      </c>
      <c r="O1866" s="2"/>
    </row>
    <row r="1867" spans="1:15" ht="240" customHeight="1" outlineLevel="1" x14ac:dyDescent="0.25">
      <c r="A1867" s="2" t="s">
        <v>18</v>
      </c>
      <c r="B1867" s="2" t="s">
        <v>8809</v>
      </c>
      <c r="C1867" s="2"/>
      <c r="D1867" s="2"/>
      <c r="E1867" s="3">
        <v>41667</v>
      </c>
      <c r="F1867" s="2" t="s">
        <v>7472</v>
      </c>
      <c r="G1867" s="2" t="s">
        <v>8810</v>
      </c>
      <c r="H1867" s="2" t="s">
        <v>2467</v>
      </c>
      <c r="I1867" s="2" t="s">
        <v>7034</v>
      </c>
      <c r="J1867" s="2"/>
      <c r="K1867" s="2" t="str">
        <f>HYPERLINK("https://docs.wto.org/imrd/directdoc.asp?DDFDocuments/t/G/SPS/NUSA1491A1.DOC")</f>
        <v>https://docs.wto.org/imrd/directdoc.asp?DDFDocuments/t/G/SPS/NUSA1491A1.DOC</v>
      </c>
      <c r="L1867" s="2" t="str">
        <f>HYPERLINK("https://docs.wto.org/imrd/directdoc.asp?DDFDocuments/u/G/SPS/NUSA1491A1.DOC")</f>
        <v>https://docs.wto.org/imrd/directdoc.asp?DDFDocuments/u/G/SPS/NUSA1491A1.DOC</v>
      </c>
      <c r="M1867" s="2" t="str">
        <f>HYPERLINK("https://docs.wto.org/imrd/directdoc.asp?DDFDocuments/v/G/SPS/NUSA1491A1.DOC")</f>
        <v>https://docs.wto.org/imrd/directdoc.asp?DDFDocuments/v/G/SPS/NUSA1491A1.DOC</v>
      </c>
      <c r="N1867" s="2" t="str">
        <f>HYPERLINK("http://www.epingalert.org/#/details/G/SPS/N/USA/1491/Add.1")</f>
        <v>http://www.epingalert.org/#/details/G/SPS/N/USA/1491/Add.1</v>
      </c>
      <c r="O1867" s="2"/>
    </row>
    <row r="1868" spans="1:15" ht="240" customHeight="1" outlineLevel="1" x14ac:dyDescent="0.25">
      <c r="A1868" s="2" t="s">
        <v>154</v>
      </c>
      <c r="B1868" s="2" t="s">
        <v>6352</v>
      </c>
      <c r="C1868" s="2" t="s">
        <v>6353</v>
      </c>
      <c r="D1868" s="2" t="s">
        <v>6354</v>
      </c>
      <c r="E1868" s="3">
        <v>41666</v>
      </c>
      <c r="F1868" s="2" t="s">
        <v>6355</v>
      </c>
      <c r="G1868" s="2"/>
      <c r="H1868" s="2" t="s">
        <v>2573</v>
      </c>
      <c r="I1868" s="2" t="s">
        <v>2426</v>
      </c>
      <c r="J1868" s="2"/>
      <c r="K1868" s="2" t="str">
        <f>HYPERLINK("https://docs.wto.org/imrd/directdoc.asp?DDFDocuments/t/G/SPS/NIDN86.DOC")</f>
        <v>https://docs.wto.org/imrd/directdoc.asp?DDFDocuments/t/G/SPS/NIDN86.DOC</v>
      </c>
      <c r="L1868" s="2" t="str">
        <f>HYPERLINK("https://docs.wto.org/imrd/directdoc.asp?DDFDocuments/u/G/SPS/NIDN86.DOC")</f>
        <v>https://docs.wto.org/imrd/directdoc.asp?DDFDocuments/u/G/SPS/NIDN86.DOC</v>
      </c>
      <c r="M1868" s="2" t="str">
        <f>HYPERLINK("https://docs.wto.org/imrd/directdoc.asp?DDFDocuments/v/G/SPS/NIDN86.DOC")</f>
        <v>https://docs.wto.org/imrd/directdoc.asp?DDFDocuments/v/G/SPS/NIDN86.DOC</v>
      </c>
      <c r="N1868" s="2" t="str">
        <f>HYPERLINK("http://www.epingalert.org/#/details/G/SPS/N/IDN/86")</f>
        <v>http://www.epingalert.org/#/details/G/SPS/N/IDN/86</v>
      </c>
      <c r="O1868" s="2"/>
    </row>
    <row r="1869" spans="1:15" ht="240" customHeight="1" outlineLevel="1" x14ac:dyDescent="0.25">
      <c r="A1869" s="2" t="s">
        <v>154</v>
      </c>
      <c r="B1869" s="2" t="s">
        <v>6356</v>
      </c>
      <c r="C1869" s="2" t="s">
        <v>6357</v>
      </c>
      <c r="D1869" s="2" t="s">
        <v>6358</v>
      </c>
      <c r="E1869" s="3">
        <v>41666</v>
      </c>
      <c r="F1869" s="2" t="s">
        <v>6359</v>
      </c>
      <c r="G1869" s="2"/>
      <c r="H1869" s="2" t="s">
        <v>2573</v>
      </c>
      <c r="I1869" s="2" t="s">
        <v>2426</v>
      </c>
      <c r="J1869" s="2"/>
      <c r="K1869" s="2" t="str">
        <f>HYPERLINK("https://docs.wto.org/imrd/directdoc.asp?DDFDocuments/t/G/SPS/NIDN85.DOC")</f>
        <v>https://docs.wto.org/imrd/directdoc.asp?DDFDocuments/t/G/SPS/NIDN85.DOC</v>
      </c>
      <c r="L1869" s="2" t="str">
        <f>HYPERLINK("https://docs.wto.org/imrd/directdoc.asp?DDFDocuments/u/G/SPS/NIDN85.DOC")</f>
        <v>https://docs.wto.org/imrd/directdoc.asp?DDFDocuments/u/G/SPS/NIDN85.DOC</v>
      </c>
      <c r="M1869" s="2" t="str">
        <f>HYPERLINK("https://docs.wto.org/imrd/directdoc.asp?DDFDocuments/v/G/SPS/NIDN85.DOC")</f>
        <v>https://docs.wto.org/imrd/directdoc.asp?DDFDocuments/v/G/SPS/NIDN85.DOC</v>
      </c>
      <c r="N1869" s="2" t="str">
        <f>HYPERLINK("http://www.epingalert.org/#/details/G/SPS/N/IDN/85")</f>
        <v>http://www.epingalert.org/#/details/G/SPS/N/IDN/85</v>
      </c>
      <c r="O1869" s="2"/>
    </row>
    <row r="1870" spans="1:15" ht="240" customHeight="1" outlineLevel="1" x14ac:dyDescent="0.25">
      <c r="A1870" s="2" t="s">
        <v>154</v>
      </c>
      <c r="B1870" s="2" t="s">
        <v>6360</v>
      </c>
      <c r="C1870" s="2" t="s">
        <v>6361</v>
      </c>
      <c r="D1870" s="2" t="s">
        <v>6362</v>
      </c>
      <c r="E1870" s="3">
        <v>41666</v>
      </c>
      <c r="F1870" s="2" t="s">
        <v>6363</v>
      </c>
      <c r="G1870" s="2"/>
      <c r="H1870" s="2" t="s">
        <v>2573</v>
      </c>
      <c r="I1870" s="2" t="s">
        <v>2426</v>
      </c>
      <c r="J1870" s="2"/>
      <c r="K1870" s="2" t="str">
        <f>HYPERLINK("https://docs.wto.org/imrd/directdoc.asp?DDFDocuments/t/G/SPS/NIDN84.DOC")</f>
        <v>https://docs.wto.org/imrd/directdoc.asp?DDFDocuments/t/G/SPS/NIDN84.DOC</v>
      </c>
      <c r="L1870" s="2" t="str">
        <f>HYPERLINK("https://docs.wto.org/imrd/directdoc.asp?DDFDocuments/u/G/SPS/NIDN84.DOC")</f>
        <v>https://docs.wto.org/imrd/directdoc.asp?DDFDocuments/u/G/SPS/NIDN84.DOC</v>
      </c>
      <c r="M1870" s="2" t="str">
        <f>HYPERLINK("https://docs.wto.org/imrd/directdoc.asp?DDFDocuments/v/G/SPS/NIDN84.DOC")</f>
        <v>https://docs.wto.org/imrd/directdoc.asp?DDFDocuments/v/G/SPS/NIDN84.DOC</v>
      </c>
      <c r="N1870" s="2" t="str">
        <f>HYPERLINK("http://www.epingalert.org/#/details/G/SPS/N/IDN/84")</f>
        <v>http://www.epingalert.org/#/details/G/SPS/N/IDN/84</v>
      </c>
      <c r="O1870" s="2"/>
    </row>
    <row r="1871" spans="1:15" ht="240" customHeight="1" outlineLevel="1" x14ac:dyDescent="0.25">
      <c r="A1871" s="2" t="s">
        <v>154</v>
      </c>
      <c r="B1871" s="2" t="s">
        <v>6364</v>
      </c>
      <c r="C1871" s="2" t="s">
        <v>6365</v>
      </c>
      <c r="D1871" s="2" t="s">
        <v>6366</v>
      </c>
      <c r="E1871" s="3">
        <v>41666</v>
      </c>
      <c r="F1871" s="2" t="s">
        <v>6367</v>
      </c>
      <c r="G1871" s="2"/>
      <c r="H1871" s="2" t="s">
        <v>2573</v>
      </c>
      <c r="I1871" s="2" t="s">
        <v>2426</v>
      </c>
      <c r="J1871" s="2"/>
      <c r="K1871" s="2" t="str">
        <f>HYPERLINK("https://docs.wto.org/imrd/directdoc.asp?DDFDocuments/t/G/SPS/NIDN83.DOC")</f>
        <v>https://docs.wto.org/imrd/directdoc.asp?DDFDocuments/t/G/SPS/NIDN83.DOC</v>
      </c>
      <c r="L1871" s="2" t="str">
        <f>HYPERLINK("https://docs.wto.org/imrd/directdoc.asp?DDFDocuments/u/G/SPS/NIDN83.DOC")</f>
        <v>https://docs.wto.org/imrd/directdoc.asp?DDFDocuments/u/G/SPS/NIDN83.DOC</v>
      </c>
      <c r="M1871" s="2" t="str">
        <f>HYPERLINK("https://docs.wto.org/imrd/directdoc.asp?DDFDocuments/v/G/SPS/NIDN83.DOC")</f>
        <v>https://docs.wto.org/imrd/directdoc.asp?DDFDocuments/v/G/SPS/NIDN83.DOC</v>
      </c>
      <c r="N1871" s="2" t="str">
        <f>HYPERLINK("http://www.epingalert.org/#/details/G/SPS/N/IDN/83")</f>
        <v>http://www.epingalert.org/#/details/G/SPS/N/IDN/83</v>
      </c>
      <c r="O1871" s="2"/>
    </row>
    <row r="1872" spans="1:15" ht="240" customHeight="1" outlineLevel="1" x14ac:dyDescent="0.25">
      <c r="A1872" s="2" t="s">
        <v>154</v>
      </c>
      <c r="B1872" s="2" t="s">
        <v>6368</v>
      </c>
      <c r="C1872" s="2" t="s">
        <v>6369</v>
      </c>
      <c r="D1872" s="2" t="s">
        <v>6370</v>
      </c>
      <c r="E1872" s="3">
        <v>41666</v>
      </c>
      <c r="F1872" s="2" t="s">
        <v>6371</v>
      </c>
      <c r="G1872" s="2"/>
      <c r="H1872" s="2" t="s">
        <v>2573</v>
      </c>
      <c r="I1872" s="2" t="s">
        <v>2426</v>
      </c>
      <c r="J1872" s="2"/>
      <c r="K1872" s="2" t="str">
        <f>HYPERLINK("https://docs.wto.org/imrd/directdoc.asp?DDFDocuments/t/G/SPS/NIDN82.DOC")</f>
        <v>https://docs.wto.org/imrd/directdoc.asp?DDFDocuments/t/G/SPS/NIDN82.DOC</v>
      </c>
      <c r="L1872" s="2" t="str">
        <f>HYPERLINK("https://docs.wto.org/imrd/directdoc.asp?DDFDocuments/u/G/SPS/NIDN82.DOC")</f>
        <v>https://docs.wto.org/imrd/directdoc.asp?DDFDocuments/u/G/SPS/NIDN82.DOC</v>
      </c>
      <c r="M1872" s="2" t="str">
        <f>HYPERLINK("https://docs.wto.org/imrd/directdoc.asp?DDFDocuments/v/G/SPS/NIDN82.DOC")</f>
        <v>https://docs.wto.org/imrd/directdoc.asp?DDFDocuments/v/G/SPS/NIDN82.DOC</v>
      </c>
      <c r="N1872" s="2" t="str">
        <f>HYPERLINK("http://www.epingalert.org/#/details/G/SPS/N/IDN/82")</f>
        <v>http://www.epingalert.org/#/details/G/SPS/N/IDN/82</v>
      </c>
      <c r="O1872" s="2"/>
    </row>
    <row r="1873" spans="1:15" ht="240" customHeight="1" outlineLevel="1" x14ac:dyDescent="0.25">
      <c r="A1873" s="2" t="s">
        <v>154</v>
      </c>
      <c r="B1873" s="2" t="s">
        <v>6372</v>
      </c>
      <c r="C1873" s="2" t="s">
        <v>6373</v>
      </c>
      <c r="D1873" s="2" t="s">
        <v>6374</v>
      </c>
      <c r="E1873" s="3">
        <v>41666</v>
      </c>
      <c r="F1873" s="2" t="s">
        <v>6375</v>
      </c>
      <c r="G1873" s="2"/>
      <c r="H1873" s="2" t="s">
        <v>2573</v>
      </c>
      <c r="I1873" s="2" t="s">
        <v>2426</v>
      </c>
      <c r="J1873" s="2"/>
      <c r="K1873" s="2" t="str">
        <f>HYPERLINK("https://docs.wto.org/imrd/directdoc.asp?DDFDocuments/t/G/SPS/NIDN81.DOC")</f>
        <v>https://docs.wto.org/imrd/directdoc.asp?DDFDocuments/t/G/SPS/NIDN81.DOC</v>
      </c>
      <c r="L1873" s="2" t="str">
        <f>HYPERLINK("https://docs.wto.org/imrd/directdoc.asp?DDFDocuments/u/G/SPS/NIDN81.DOC")</f>
        <v>https://docs.wto.org/imrd/directdoc.asp?DDFDocuments/u/G/SPS/NIDN81.DOC</v>
      </c>
      <c r="M1873" s="2" t="str">
        <f>HYPERLINK("https://docs.wto.org/imrd/directdoc.asp?DDFDocuments/v/G/SPS/NIDN81.DOC")</f>
        <v>https://docs.wto.org/imrd/directdoc.asp?DDFDocuments/v/G/SPS/NIDN81.DOC</v>
      </c>
      <c r="N1873" s="2" t="str">
        <f>HYPERLINK("http://www.epingalert.org/#/details/G/SPS/N/IDN/81")</f>
        <v>http://www.epingalert.org/#/details/G/SPS/N/IDN/81</v>
      </c>
      <c r="O1873" s="2"/>
    </row>
    <row r="1874" spans="1:15" ht="240" customHeight="1" outlineLevel="1" x14ac:dyDescent="0.25">
      <c r="A1874" s="2" t="s">
        <v>154</v>
      </c>
      <c r="B1874" s="2" t="s">
        <v>6376</v>
      </c>
      <c r="C1874" s="2" t="s">
        <v>6377</v>
      </c>
      <c r="D1874" s="2" t="s">
        <v>6378</v>
      </c>
      <c r="E1874" s="3">
        <v>41666</v>
      </c>
      <c r="F1874" s="2" t="s">
        <v>6379</v>
      </c>
      <c r="G1874" s="2"/>
      <c r="H1874" s="2" t="s">
        <v>2573</v>
      </c>
      <c r="I1874" s="2" t="s">
        <v>2426</v>
      </c>
      <c r="J1874" s="2"/>
      <c r="K1874" s="2" t="str">
        <f>HYPERLINK("https://docs.wto.org/imrd/directdoc.asp?DDFDocuments/t/G/SPS/NIDN80.DOC")</f>
        <v>https://docs.wto.org/imrd/directdoc.asp?DDFDocuments/t/G/SPS/NIDN80.DOC</v>
      </c>
      <c r="L1874" s="2" t="str">
        <f>HYPERLINK("https://docs.wto.org/imrd/directdoc.asp?DDFDocuments/u/G/SPS/NIDN80.DOC")</f>
        <v>https://docs.wto.org/imrd/directdoc.asp?DDFDocuments/u/G/SPS/NIDN80.DOC</v>
      </c>
      <c r="M1874" s="2" t="str">
        <f>HYPERLINK("https://docs.wto.org/imrd/directdoc.asp?DDFDocuments/v/G/SPS/NIDN80.DOC")</f>
        <v>https://docs.wto.org/imrd/directdoc.asp?DDFDocuments/v/G/SPS/NIDN80.DOC</v>
      </c>
      <c r="N1874" s="2" t="str">
        <f>HYPERLINK("http://www.epingalert.org/#/details/G/SPS/N/IDN/80")</f>
        <v>http://www.epingalert.org/#/details/G/SPS/N/IDN/80</v>
      </c>
      <c r="O1874" s="2"/>
    </row>
    <row r="1875" spans="1:15" ht="240" customHeight="1" outlineLevel="1" x14ac:dyDescent="0.25">
      <c r="A1875" s="2" t="s">
        <v>154</v>
      </c>
      <c r="B1875" s="2" t="s">
        <v>6380</v>
      </c>
      <c r="C1875" s="2" t="s">
        <v>6381</v>
      </c>
      <c r="D1875" s="2" t="s">
        <v>6382</v>
      </c>
      <c r="E1875" s="3">
        <v>41666</v>
      </c>
      <c r="F1875" s="2" t="s">
        <v>6383</v>
      </c>
      <c r="G1875" s="2"/>
      <c r="H1875" s="2" t="s">
        <v>2573</v>
      </c>
      <c r="I1875" s="2" t="s">
        <v>2426</v>
      </c>
      <c r="J1875" s="2"/>
      <c r="K1875" s="2" t="str">
        <f>HYPERLINK("https://docs.wto.org/imrd/directdoc.asp?DDFDocuments/t/G/SPS/NIDN79.DOC")</f>
        <v>https://docs.wto.org/imrd/directdoc.asp?DDFDocuments/t/G/SPS/NIDN79.DOC</v>
      </c>
      <c r="L1875" s="2" t="str">
        <f>HYPERLINK("https://docs.wto.org/imrd/directdoc.asp?DDFDocuments/u/G/SPS/NIDN79.DOC")</f>
        <v>https://docs.wto.org/imrd/directdoc.asp?DDFDocuments/u/G/SPS/NIDN79.DOC</v>
      </c>
      <c r="M1875" s="2" t="str">
        <f>HYPERLINK("https://docs.wto.org/imrd/directdoc.asp?DDFDocuments/v/G/SPS/NIDN79.DOC")</f>
        <v>https://docs.wto.org/imrd/directdoc.asp?DDFDocuments/v/G/SPS/NIDN79.DOC</v>
      </c>
      <c r="N1875" s="2" t="str">
        <f>HYPERLINK("http://www.epingalert.org/#/details/G/SPS/N/IDN/79")</f>
        <v>http://www.epingalert.org/#/details/G/SPS/N/IDN/79</v>
      </c>
      <c r="O1875" s="2"/>
    </row>
    <row r="1876" spans="1:15" ht="240" customHeight="1" outlineLevel="1" x14ac:dyDescent="0.25">
      <c r="A1876" s="2" t="s">
        <v>154</v>
      </c>
      <c r="B1876" s="2" t="s">
        <v>6384</v>
      </c>
      <c r="C1876" s="2" t="s">
        <v>6385</v>
      </c>
      <c r="D1876" s="2" t="s">
        <v>6386</v>
      </c>
      <c r="E1876" s="3">
        <v>41666</v>
      </c>
      <c r="F1876" s="2" t="s">
        <v>6387</v>
      </c>
      <c r="G1876" s="2"/>
      <c r="H1876" s="2" t="s">
        <v>2573</v>
      </c>
      <c r="I1876" s="2" t="s">
        <v>2426</v>
      </c>
      <c r="J1876" s="2"/>
      <c r="K1876" s="2" t="str">
        <f>HYPERLINK("https://docs.wto.org/imrd/directdoc.asp?DDFDocuments/t/G/SPS/NIDN78.DOC")</f>
        <v>https://docs.wto.org/imrd/directdoc.asp?DDFDocuments/t/G/SPS/NIDN78.DOC</v>
      </c>
      <c r="L1876" s="2" t="str">
        <f>HYPERLINK("https://docs.wto.org/imrd/directdoc.asp?DDFDocuments/u/G/SPS/NIDN78.DOC")</f>
        <v>https://docs.wto.org/imrd/directdoc.asp?DDFDocuments/u/G/SPS/NIDN78.DOC</v>
      </c>
      <c r="M1876" s="2" t="str">
        <f>HYPERLINK("https://docs.wto.org/imrd/directdoc.asp?DDFDocuments/v/G/SPS/NIDN78.DOC")</f>
        <v>https://docs.wto.org/imrd/directdoc.asp?DDFDocuments/v/G/SPS/NIDN78.DOC</v>
      </c>
      <c r="N1876" s="2" t="str">
        <f>HYPERLINK("http://www.epingalert.org/#/details/G/SPS/N/IDN/78")</f>
        <v>http://www.epingalert.org/#/details/G/SPS/N/IDN/78</v>
      </c>
      <c r="O1876" s="2"/>
    </row>
    <row r="1877" spans="1:15" ht="240" customHeight="1" outlineLevel="1" x14ac:dyDescent="0.25">
      <c r="A1877" s="2" t="s">
        <v>154</v>
      </c>
      <c r="B1877" s="2" t="s">
        <v>6388</v>
      </c>
      <c r="C1877" s="2" t="s">
        <v>6389</v>
      </c>
      <c r="D1877" s="2" t="s">
        <v>6390</v>
      </c>
      <c r="E1877" s="3">
        <v>41666</v>
      </c>
      <c r="F1877" s="2" t="s">
        <v>6391</v>
      </c>
      <c r="G1877" s="2"/>
      <c r="H1877" s="2" t="s">
        <v>2573</v>
      </c>
      <c r="I1877" s="2" t="s">
        <v>2426</v>
      </c>
      <c r="J1877" s="2"/>
      <c r="K1877" s="2" t="str">
        <f>HYPERLINK("https://docs.wto.org/imrd/directdoc.asp?DDFDocuments/t/G/SPS/NIDN77.DOC")</f>
        <v>https://docs.wto.org/imrd/directdoc.asp?DDFDocuments/t/G/SPS/NIDN77.DOC</v>
      </c>
      <c r="L1877" s="2" t="str">
        <f>HYPERLINK("https://docs.wto.org/imrd/directdoc.asp?DDFDocuments/u/G/SPS/NIDN77.DOC")</f>
        <v>https://docs.wto.org/imrd/directdoc.asp?DDFDocuments/u/G/SPS/NIDN77.DOC</v>
      </c>
      <c r="M1877" s="2" t="str">
        <f>HYPERLINK("https://docs.wto.org/imrd/directdoc.asp?DDFDocuments/v/G/SPS/NIDN77.DOC")</f>
        <v>https://docs.wto.org/imrd/directdoc.asp?DDFDocuments/v/G/SPS/NIDN77.DOC</v>
      </c>
      <c r="N1877" s="2" t="str">
        <f>HYPERLINK("http://www.epingalert.org/#/details/G/SPS/N/IDN/77")</f>
        <v>http://www.epingalert.org/#/details/G/SPS/N/IDN/77</v>
      </c>
      <c r="O1877" s="2"/>
    </row>
    <row r="1878" spans="1:15" ht="240" customHeight="1" outlineLevel="1" x14ac:dyDescent="0.25">
      <c r="A1878" s="2" t="s">
        <v>154</v>
      </c>
      <c r="B1878" s="2" t="s">
        <v>6392</v>
      </c>
      <c r="C1878" s="2" t="s">
        <v>6393</v>
      </c>
      <c r="D1878" s="2" t="s">
        <v>6394</v>
      </c>
      <c r="E1878" s="3">
        <v>41666</v>
      </c>
      <c r="F1878" s="2" t="s">
        <v>6395</v>
      </c>
      <c r="G1878" s="2"/>
      <c r="H1878" s="2" t="s">
        <v>2573</v>
      </c>
      <c r="I1878" s="2" t="s">
        <v>2426</v>
      </c>
      <c r="J1878" s="2"/>
      <c r="K1878" s="2" t="str">
        <f>HYPERLINK("https://docs.wto.org/imrd/directdoc.asp?DDFDocuments/t/G/SPS/NIDN76.DOC")</f>
        <v>https://docs.wto.org/imrd/directdoc.asp?DDFDocuments/t/G/SPS/NIDN76.DOC</v>
      </c>
      <c r="L1878" s="2" t="str">
        <f>HYPERLINK("https://docs.wto.org/imrd/directdoc.asp?DDFDocuments/u/G/SPS/NIDN76.DOC")</f>
        <v>https://docs.wto.org/imrd/directdoc.asp?DDFDocuments/u/G/SPS/NIDN76.DOC</v>
      </c>
      <c r="M1878" s="2" t="str">
        <f>HYPERLINK("https://docs.wto.org/imrd/directdoc.asp?DDFDocuments/v/G/SPS/NIDN76.DOC")</f>
        <v>https://docs.wto.org/imrd/directdoc.asp?DDFDocuments/v/G/SPS/NIDN76.DOC</v>
      </c>
      <c r="N1878" s="2" t="str">
        <f>HYPERLINK("http://www.epingalert.org/#/details/G/SPS/N/IDN/76")</f>
        <v>http://www.epingalert.org/#/details/G/SPS/N/IDN/76</v>
      </c>
      <c r="O1878" s="2"/>
    </row>
    <row r="1879" spans="1:15" ht="240" customHeight="1" outlineLevel="1" x14ac:dyDescent="0.25">
      <c r="A1879" s="2" t="s">
        <v>154</v>
      </c>
      <c r="B1879" s="2" t="s">
        <v>6396</v>
      </c>
      <c r="C1879" s="2" t="s">
        <v>6397</v>
      </c>
      <c r="D1879" s="2" t="s">
        <v>6398</v>
      </c>
      <c r="E1879" s="3">
        <v>41666</v>
      </c>
      <c r="F1879" s="2" t="s">
        <v>6399</v>
      </c>
      <c r="G1879" s="2"/>
      <c r="H1879" s="2" t="s">
        <v>2573</v>
      </c>
      <c r="I1879" s="2" t="s">
        <v>2426</v>
      </c>
      <c r="J1879" s="2"/>
      <c r="K1879" s="2" t="str">
        <f>HYPERLINK("https://docs.wto.org/imrd/directdoc.asp?DDFDocuments/t/G/SPS/NIDN75.DOC")</f>
        <v>https://docs.wto.org/imrd/directdoc.asp?DDFDocuments/t/G/SPS/NIDN75.DOC</v>
      </c>
      <c r="L1879" s="2" t="str">
        <f>HYPERLINK("https://docs.wto.org/imrd/directdoc.asp?DDFDocuments/u/G/SPS/NIDN75.DOC")</f>
        <v>https://docs.wto.org/imrd/directdoc.asp?DDFDocuments/u/G/SPS/NIDN75.DOC</v>
      </c>
      <c r="M1879" s="2" t="str">
        <f>HYPERLINK("https://docs.wto.org/imrd/directdoc.asp?DDFDocuments/v/G/SPS/NIDN75.DOC")</f>
        <v>https://docs.wto.org/imrd/directdoc.asp?DDFDocuments/v/G/SPS/NIDN75.DOC</v>
      </c>
      <c r="N1879" s="2" t="str">
        <f>HYPERLINK("http://www.epingalert.org/#/details/G/SPS/N/IDN/75")</f>
        <v>http://www.epingalert.org/#/details/G/SPS/N/IDN/75</v>
      </c>
      <c r="O1879" s="2"/>
    </row>
    <row r="1880" spans="1:15" ht="240" customHeight="1" outlineLevel="1" x14ac:dyDescent="0.25">
      <c r="A1880" s="2" t="s">
        <v>154</v>
      </c>
      <c r="B1880" s="2" t="s">
        <v>6400</v>
      </c>
      <c r="C1880" s="2" t="s">
        <v>6401</v>
      </c>
      <c r="D1880" s="2" t="s">
        <v>6402</v>
      </c>
      <c r="E1880" s="3">
        <v>41666</v>
      </c>
      <c r="F1880" s="2" t="s">
        <v>6403</v>
      </c>
      <c r="G1880" s="2"/>
      <c r="H1880" s="2" t="s">
        <v>2573</v>
      </c>
      <c r="I1880" s="2" t="s">
        <v>2426</v>
      </c>
      <c r="J1880" s="2"/>
      <c r="K1880" s="2" t="str">
        <f>HYPERLINK("https://docs.wto.org/imrd/directdoc.asp?DDFDocuments/t/G/SPS/NIDN74.DOC")</f>
        <v>https://docs.wto.org/imrd/directdoc.asp?DDFDocuments/t/G/SPS/NIDN74.DOC</v>
      </c>
      <c r="L1880" s="2" t="str">
        <f>HYPERLINK("https://docs.wto.org/imrd/directdoc.asp?DDFDocuments/u/G/SPS/NIDN74.DOC")</f>
        <v>https://docs.wto.org/imrd/directdoc.asp?DDFDocuments/u/G/SPS/NIDN74.DOC</v>
      </c>
      <c r="M1880" s="2" t="str">
        <f>HYPERLINK("https://docs.wto.org/imrd/directdoc.asp?DDFDocuments/v/G/SPS/NIDN74.DOC")</f>
        <v>https://docs.wto.org/imrd/directdoc.asp?DDFDocuments/v/G/SPS/NIDN74.DOC</v>
      </c>
      <c r="N1880" s="2" t="str">
        <f>HYPERLINK("http://www.epingalert.org/#/details/G/SPS/N/IDN/74")</f>
        <v>http://www.epingalert.org/#/details/G/SPS/N/IDN/74</v>
      </c>
      <c r="O1880" s="2"/>
    </row>
    <row r="1881" spans="1:15" ht="240" customHeight="1" outlineLevel="1" x14ac:dyDescent="0.25">
      <c r="A1881" s="2" t="s">
        <v>154</v>
      </c>
      <c r="B1881" s="2" t="s">
        <v>6404</v>
      </c>
      <c r="C1881" s="2" t="s">
        <v>6405</v>
      </c>
      <c r="D1881" s="2" t="s">
        <v>6406</v>
      </c>
      <c r="E1881" s="3">
        <v>41666</v>
      </c>
      <c r="F1881" s="2" t="s">
        <v>6407</v>
      </c>
      <c r="G1881" s="2"/>
      <c r="H1881" s="2" t="s">
        <v>2573</v>
      </c>
      <c r="I1881" s="2" t="s">
        <v>2426</v>
      </c>
      <c r="J1881" s="2"/>
      <c r="K1881" s="2" t="str">
        <f>HYPERLINK("https://docs.wto.org/imrd/directdoc.asp?DDFDocuments/t/G/SPS/NIDN73.DOC")</f>
        <v>https://docs.wto.org/imrd/directdoc.asp?DDFDocuments/t/G/SPS/NIDN73.DOC</v>
      </c>
      <c r="L1881" s="2" t="str">
        <f>HYPERLINK("https://docs.wto.org/imrd/directdoc.asp?DDFDocuments/u/G/SPS/NIDN73.DOC")</f>
        <v>https://docs.wto.org/imrd/directdoc.asp?DDFDocuments/u/G/SPS/NIDN73.DOC</v>
      </c>
      <c r="M1881" s="2" t="str">
        <f>HYPERLINK("https://docs.wto.org/imrd/directdoc.asp?DDFDocuments/v/G/SPS/NIDN73.DOC")</f>
        <v>https://docs.wto.org/imrd/directdoc.asp?DDFDocuments/v/G/SPS/NIDN73.DOC</v>
      </c>
      <c r="N1881" s="2" t="str">
        <f>HYPERLINK("http://www.epingalert.org/#/details/G/SPS/N/IDN/73")</f>
        <v>http://www.epingalert.org/#/details/G/SPS/N/IDN/73</v>
      </c>
      <c r="O1881" s="2"/>
    </row>
    <row r="1882" spans="1:15" ht="240" customHeight="1" outlineLevel="1" x14ac:dyDescent="0.25">
      <c r="A1882" s="2" t="s">
        <v>154</v>
      </c>
      <c r="B1882" s="2" t="s">
        <v>6408</v>
      </c>
      <c r="C1882" s="2" t="s">
        <v>6409</v>
      </c>
      <c r="D1882" s="2" t="s">
        <v>6410</v>
      </c>
      <c r="E1882" s="3">
        <v>41666</v>
      </c>
      <c r="F1882" s="2" t="s">
        <v>6411</v>
      </c>
      <c r="G1882" s="2"/>
      <c r="H1882" s="2" t="s">
        <v>2573</v>
      </c>
      <c r="I1882" s="2" t="s">
        <v>2426</v>
      </c>
      <c r="J1882" s="2"/>
      <c r="K1882" s="2" t="str">
        <f>HYPERLINK("https://docs.wto.org/imrd/directdoc.asp?DDFDocuments/t/G/SPS/NIDN72.DOC")</f>
        <v>https://docs.wto.org/imrd/directdoc.asp?DDFDocuments/t/G/SPS/NIDN72.DOC</v>
      </c>
      <c r="L1882" s="2" t="str">
        <f>HYPERLINK("https://docs.wto.org/imrd/directdoc.asp?DDFDocuments/u/G/SPS/NIDN72.DOC")</f>
        <v>https://docs.wto.org/imrd/directdoc.asp?DDFDocuments/u/G/SPS/NIDN72.DOC</v>
      </c>
      <c r="M1882" s="2" t="str">
        <f>HYPERLINK("https://docs.wto.org/imrd/directdoc.asp?DDFDocuments/v/G/SPS/NIDN72.DOC")</f>
        <v>https://docs.wto.org/imrd/directdoc.asp?DDFDocuments/v/G/SPS/NIDN72.DOC</v>
      </c>
      <c r="N1882" s="2" t="str">
        <f>HYPERLINK("http://www.epingalert.org/#/details/G/SPS/N/IDN/72")</f>
        <v>http://www.epingalert.org/#/details/G/SPS/N/IDN/72</v>
      </c>
      <c r="O1882" s="2"/>
    </row>
    <row r="1883" spans="1:15" ht="240" customHeight="1" outlineLevel="1" x14ac:dyDescent="0.25">
      <c r="A1883" s="2" t="s">
        <v>154</v>
      </c>
      <c r="B1883" s="2" t="s">
        <v>6412</v>
      </c>
      <c r="C1883" s="2" t="s">
        <v>6413</v>
      </c>
      <c r="D1883" s="2" t="s">
        <v>6414</v>
      </c>
      <c r="E1883" s="3">
        <v>41666</v>
      </c>
      <c r="F1883" s="2" t="s">
        <v>6415</v>
      </c>
      <c r="G1883" s="2"/>
      <c r="H1883" s="2" t="s">
        <v>2573</v>
      </c>
      <c r="I1883" s="2" t="s">
        <v>2426</v>
      </c>
      <c r="J1883" s="2"/>
      <c r="K1883" s="2" t="str">
        <f>HYPERLINK("https://docs.wto.org/imrd/directdoc.asp?DDFDocuments/t/G/SPS/NIDN71.DOC")</f>
        <v>https://docs.wto.org/imrd/directdoc.asp?DDFDocuments/t/G/SPS/NIDN71.DOC</v>
      </c>
      <c r="L1883" s="2" t="str">
        <f>HYPERLINK("https://docs.wto.org/imrd/directdoc.asp?DDFDocuments/u/G/SPS/NIDN71.DOC")</f>
        <v>https://docs.wto.org/imrd/directdoc.asp?DDFDocuments/u/G/SPS/NIDN71.DOC</v>
      </c>
      <c r="M1883" s="2" t="str">
        <f>HYPERLINK("https://docs.wto.org/imrd/directdoc.asp?DDFDocuments/v/G/SPS/NIDN71.DOC")</f>
        <v>https://docs.wto.org/imrd/directdoc.asp?DDFDocuments/v/G/SPS/NIDN71.DOC</v>
      </c>
      <c r="N1883" s="2" t="str">
        <f>HYPERLINK("http://www.epingalert.org/#/details/G/SPS/N/IDN/71")</f>
        <v>http://www.epingalert.org/#/details/G/SPS/N/IDN/71</v>
      </c>
      <c r="O1883" s="2"/>
    </row>
    <row r="1884" spans="1:15" ht="240" customHeight="1" outlineLevel="1" x14ac:dyDescent="0.25">
      <c r="A1884" s="2" t="s">
        <v>154</v>
      </c>
      <c r="B1884" s="2" t="s">
        <v>6416</v>
      </c>
      <c r="C1884" s="2" t="s">
        <v>6417</v>
      </c>
      <c r="D1884" s="2" t="s">
        <v>6418</v>
      </c>
      <c r="E1884" s="3">
        <v>41666</v>
      </c>
      <c r="F1884" s="2" t="s">
        <v>6419</v>
      </c>
      <c r="G1884" s="2"/>
      <c r="H1884" s="2" t="s">
        <v>2573</v>
      </c>
      <c r="I1884" s="2" t="s">
        <v>2426</v>
      </c>
      <c r="J1884" s="2"/>
      <c r="K1884" s="2" t="str">
        <f>HYPERLINK("https://docs.wto.org/imrd/directdoc.asp?DDFDocuments/t/G/SPS/NIDN70.DOC")</f>
        <v>https://docs.wto.org/imrd/directdoc.asp?DDFDocuments/t/G/SPS/NIDN70.DOC</v>
      </c>
      <c r="L1884" s="2" t="str">
        <f>HYPERLINK("https://docs.wto.org/imrd/directdoc.asp?DDFDocuments/u/G/SPS/NIDN70.DOC")</f>
        <v>https://docs.wto.org/imrd/directdoc.asp?DDFDocuments/u/G/SPS/NIDN70.DOC</v>
      </c>
      <c r="M1884" s="2" t="str">
        <f>HYPERLINK("https://docs.wto.org/imrd/directdoc.asp?DDFDocuments/v/G/SPS/NIDN70.DOC")</f>
        <v>https://docs.wto.org/imrd/directdoc.asp?DDFDocuments/v/G/SPS/NIDN70.DOC</v>
      </c>
      <c r="N1884" s="2" t="str">
        <f>HYPERLINK("http://www.epingalert.org/#/details/G/SPS/N/IDN/70")</f>
        <v>http://www.epingalert.org/#/details/G/SPS/N/IDN/70</v>
      </c>
      <c r="O1884" s="2"/>
    </row>
    <row r="1885" spans="1:15" ht="240" customHeight="1" outlineLevel="1" x14ac:dyDescent="0.25">
      <c r="A1885" s="2" t="s">
        <v>154</v>
      </c>
      <c r="B1885" s="2" t="s">
        <v>6420</v>
      </c>
      <c r="C1885" s="2" t="s">
        <v>6421</v>
      </c>
      <c r="D1885" s="2" t="s">
        <v>6422</v>
      </c>
      <c r="E1885" s="3">
        <v>41666</v>
      </c>
      <c r="F1885" s="2" t="s">
        <v>6423</v>
      </c>
      <c r="G1885" s="2"/>
      <c r="H1885" s="2" t="s">
        <v>2573</v>
      </c>
      <c r="I1885" s="2" t="s">
        <v>2426</v>
      </c>
      <c r="J1885" s="2"/>
      <c r="K1885" s="2" t="str">
        <f>HYPERLINK("https://docs.wto.org/imrd/directdoc.asp?DDFDocuments/t/G/SPS/NIDN69.DOC")</f>
        <v>https://docs.wto.org/imrd/directdoc.asp?DDFDocuments/t/G/SPS/NIDN69.DOC</v>
      </c>
      <c r="L1885" s="2" t="str">
        <f>HYPERLINK("https://docs.wto.org/imrd/directdoc.asp?DDFDocuments/u/G/SPS/NIDN69.DOC")</f>
        <v>https://docs.wto.org/imrd/directdoc.asp?DDFDocuments/u/G/SPS/NIDN69.DOC</v>
      </c>
      <c r="M1885" s="2" t="str">
        <f>HYPERLINK("https://docs.wto.org/imrd/directdoc.asp?DDFDocuments/v/G/SPS/NIDN69.DOC")</f>
        <v>https://docs.wto.org/imrd/directdoc.asp?DDFDocuments/v/G/SPS/NIDN69.DOC</v>
      </c>
      <c r="N1885" s="2" t="str">
        <f>HYPERLINK("http://www.epingalert.org/#/details/G/SPS/N/IDN/69")</f>
        <v>http://www.epingalert.org/#/details/G/SPS/N/IDN/69</v>
      </c>
      <c r="O1885" s="2"/>
    </row>
    <row r="1886" spans="1:15" ht="240" customHeight="1" outlineLevel="1" x14ac:dyDescent="0.25">
      <c r="A1886" s="2" t="s">
        <v>154</v>
      </c>
      <c r="B1886" s="2" t="s">
        <v>6424</v>
      </c>
      <c r="C1886" s="2" t="s">
        <v>6425</v>
      </c>
      <c r="D1886" s="2" t="s">
        <v>6426</v>
      </c>
      <c r="E1886" s="3">
        <v>41666</v>
      </c>
      <c r="F1886" s="2" t="s">
        <v>6427</v>
      </c>
      <c r="G1886" s="2"/>
      <c r="H1886" s="2" t="s">
        <v>2573</v>
      </c>
      <c r="I1886" s="2" t="s">
        <v>2426</v>
      </c>
      <c r="J1886" s="2"/>
      <c r="K1886" s="2" t="str">
        <f>HYPERLINK("https://docs.wto.org/imrd/directdoc.asp?DDFDocuments/t/G/SPS/NIDN68.DOC")</f>
        <v>https://docs.wto.org/imrd/directdoc.asp?DDFDocuments/t/G/SPS/NIDN68.DOC</v>
      </c>
      <c r="L1886" s="2" t="str">
        <f>HYPERLINK("https://docs.wto.org/imrd/directdoc.asp?DDFDocuments/u/G/SPS/NIDN68.DOC")</f>
        <v>https://docs.wto.org/imrd/directdoc.asp?DDFDocuments/u/G/SPS/NIDN68.DOC</v>
      </c>
      <c r="M1886" s="2" t="str">
        <f>HYPERLINK("https://docs.wto.org/imrd/directdoc.asp?DDFDocuments/v/G/SPS/NIDN68.DOC")</f>
        <v>https://docs.wto.org/imrd/directdoc.asp?DDFDocuments/v/G/SPS/NIDN68.DOC</v>
      </c>
      <c r="N1886" s="2" t="str">
        <f>HYPERLINK("http://www.epingalert.org/#/details/G/SPS/N/IDN/68")</f>
        <v>http://www.epingalert.org/#/details/G/SPS/N/IDN/68</v>
      </c>
      <c r="O1886" s="2"/>
    </row>
    <row r="1887" spans="1:15" ht="240" customHeight="1" outlineLevel="1" x14ac:dyDescent="0.25">
      <c r="A1887" s="2" t="s">
        <v>154</v>
      </c>
      <c r="B1887" s="2" t="s">
        <v>6428</v>
      </c>
      <c r="C1887" s="2" t="s">
        <v>6429</v>
      </c>
      <c r="D1887" s="2" t="s">
        <v>6430</v>
      </c>
      <c r="E1887" s="3">
        <v>41666</v>
      </c>
      <c r="F1887" s="2" t="s">
        <v>6431</v>
      </c>
      <c r="G1887" s="2"/>
      <c r="H1887" s="2" t="s">
        <v>2573</v>
      </c>
      <c r="I1887" s="2" t="s">
        <v>2426</v>
      </c>
      <c r="J1887" s="2"/>
      <c r="K1887" s="2" t="str">
        <f>HYPERLINK("https://docs.wto.org/imrd/directdoc.asp?DDFDocuments/t/G/SPS/NIDN67.DOC")</f>
        <v>https://docs.wto.org/imrd/directdoc.asp?DDFDocuments/t/G/SPS/NIDN67.DOC</v>
      </c>
      <c r="L1887" s="2" t="str">
        <f>HYPERLINK("https://docs.wto.org/imrd/directdoc.asp?DDFDocuments/u/G/SPS/NIDN67.DOC")</f>
        <v>https://docs.wto.org/imrd/directdoc.asp?DDFDocuments/u/G/SPS/NIDN67.DOC</v>
      </c>
      <c r="M1887" s="2" t="str">
        <f>HYPERLINK("https://docs.wto.org/imrd/directdoc.asp?DDFDocuments/v/G/SPS/NIDN67.DOC")</f>
        <v>https://docs.wto.org/imrd/directdoc.asp?DDFDocuments/v/G/SPS/NIDN67.DOC</v>
      </c>
      <c r="N1887" s="2" t="str">
        <f>HYPERLINK("http://www.epingalert.org/#/details/G/SPS/N/IDN/67")</f>
        <v>http://www.epingalert.org/#/details/G/SPS/N/IDN/67</v>
      </c>
      <c r="O1887" s="2"/>
    </row>
    <row r="1888" spans="1:15" ht="240" customHeight="1" outlineLevel="1" x14ac:dyDescent="0.25">
      <c r="A1888" s="2" t="s">
        <v>154</v>
      </c>
      <c r="B1888" s="2" t="s">
        <v>6432</v>
      </c>
      <c r="C1888" s="2" t="s">
        <v>6433</v>
      </c>
      <c r="D1888" s="2" t="s">
        <v>6434</v>
      </c>
      <c r="E1888" s="3">
        <v>41666</v>
      </c>
      <c r="F1888" s="2" t="s">
        <v>6435</v>
      </c>
      <c r="G1888" s="2"/>
      <c r="H1888" s="2" t="s">
        <v>2573</v>
      </c>
      <c r="I1888" s="2" t="s">
        <v>2426</v>
      </c>
      <c r="J1888" s="2"/>
      <c r="K1888" s="2" t="str">
        <f>HYPERLINK("https://docs.wto.org/imrd/directdoc.asp?DDFDocuments/t/G/SPS/NIDN66.DOC")</f>
        <v>https://docs.wto.org/imrd/directdoc.asp?DDFDocuments/t/G/SPS/NIDN66.DOC</v>
      </c>
      <c r="L1888" s="2" t="str">
        <f>HYPERLINK("https://docs.wto.org/imrd/directdoc.asp?DDFDocuments/u/G/SPS/NIDN66.DOC")</f>
        <v>https://docs.wto.org/imrd/directdoc.asp?DDFDocuments/u/G/SPS/NIDN66.DOC</v>
      </c>
      <c r="M1888" s="2" t="str">
        <f>HYPERLINK("https://docs.wto.org/imrd/directdoc.asp?DDFDocuments/v/G/SPS/NIDN66.DOC")</f>
        <v>https://docs.wto.org/imrd/directdoc.asp?DDFDocuments/v/G/SPS/NIDN66.DOC</v>
      </c>
      <c r="N1888" s="2" t="str">
        <f>HYPERLINK("http://www.epingalert.org/#/details/G/SPS/N/IDN/66")</f>
        <v>http://www.epingalert.org/#/details/G/SPS/N/IDN/66</v>
      </c>
      <c r="O1888" s="2"/>
    </row>
    <row r="1889" spans="1:15" ht="240" customHeight="1" outlineLevel="1" x14ac:dyDescent="0.25">
      <c r="A1889" s="2" t="s">
        <v>154</v>
      </c>
      <c r="B1889" s="2" t="s">
        <v>6436</v>
      </c>
      <c r="C1889" s="2" t="s">
        <v>6437</v>
      </c>
      <c r="D1889" s="2" t="s">
        <v>6438</v>
      </c>
      <c r="E1889" s="3">
        <v>41666</v>
      </c>
      <c r="F1889" s="2" t="s">
        <v>6439</v>
      </c>
      <c r="G1889" s="2"/>
      <c r="H1889" s="2" t="s">
        <v>2573</v>
      </c>
      <c r="I1889" s="2" t="s">
        <v>2426</v>
      </c>
      <c r="J1889" s="2"/>
      <c r="K1889" s="2" t="str">
        <f>HYPERLINK("https://docs.wto.org/imrd/directdoc.asp?DDFDocuments/t/G/SPS/NIDN89.DOC")</f>
        <v>https://docs.wto.org/imrd/directdoc.asp?DDFDocuments/t/G/SPS/NIDN89.DOC</v>
      </c>
      <c r="L1889" s="2" t="str">
        <f>HYPERLINK("https://docs.wto.org/imrd/directdoc.asp?DDFDocuments/u/G/SPS/NIDN89.DOC")</f>
        <v>https://docs.wto.org/imrd/directdoc.asp?DDFDocuments/u/G/SPS/NIDN89.DOC</v>
      </c>
      <c r="M1889" s="2" t="str">
        <f>HYPERLINK("https://docs.wto.org/imrd/directdoc.asp?DDFDocuments/v/G/SPS/NIDN89.DOC")</f>
        <v>https://docs.wto.org/imrd/directdoc.asp?DDFDocuments/v/G/SPS/NIDN89.DOC</v>
      </c>
      <c r="N1889" s="2" t="str">
        <f>HYPERLINK("http://www.epingalert.org/#/details/G/SPS/N/IDN/89")</f>
        <v>http://www.epingalert.org/#/details/G/SPS/N/IDN/89</v>
      </c>
      <c r="O1889" s="2"/>
    </row>
    <row r="1890" spans="1:15" ht="240" customHeight="1" outlineLevel="1" x14ac:dyDescent="0.25">
      <c r="A1890" s="2" t="s">
        <v>154</v>
      </c>
      <c r="B1890" s="2" t="s">
        <v>6440</v>
      </c>
      <c r="C1890" s="2" t="s">
        <v>6441</v>
      </c>
      <c r="D1890" s="2" t="s">
        <v>6442</v>
      </c>
      <c r="E1890" s="3">
        <v>41666</v>
      </c>
      <c r="F1890" s="2" t="s">
        <v>6443</v>
      </c>
      <c r="G1890" s="2"/>
      <c r="H1890" s="2" t="s">
        <v>2573</v>
      </c>
      <c r="I1890" s="2" t="s">
        <v>2426</v>
      </c>
      <c r="J1890" s="2"/>
      <c r="K1890" s="2" t="str">
        <f>HYPERLINK("https://docs.wto.org/imrd/directdoc.asp?DDFDocuments/t/G/SPS/NIDN88.DOC")</f>
        <v>https://docs.wto.org/imrd/directdoc.asp?DDFDocuments/t/G/SPS/NIDN88.DOC</v>
      </c>
      <c r="L1890" s="2" t="str">
        <f>HYPERLINK("https://docs.wto.org/imrd/directdoc.asp?DDFDocuments/u/G/SPS/NIDN88.DOC")</f>
        <v>https://docs.wto.org/imrd/directdoc.asp?DDFDocuments/u/G/SPS/NIDN88.DOC</v>
      </c>
      <c r="M1890" s="2" t="str">
        <f>HYPERLINK("https://docs.wto.org/imrd/directdoc.asp?DDFDocuments/v/G/SPS/NIDN88.DOC")</f>
        <v>https://docs.wto.org/imrd/directdoc.asp?DDFDocuments/v/G/SPS/NIDN88.DOC</v>
      </c>
      <c r="N1890" s="2" t="str">
        <f>HYPERLINK("http://www.epingalert.org/#/details/G/SPS/N/IDN/88")</f>
        <v>http://www.epingalert.org/#/details/G/SPS/N/IDN/88</v>
      </c>
      <c r="O1890" s="2"/>
    </row>
    <row r="1891" spans="1:15" ht="240" customHeight="1" outlineLevel="1" x14ac:dyDescent="0.25">
      <c r="A1891" s="2" t="s">
        <v>154</v>
      </c>
      <c r="B1891" s="2" t="s">
        <v>6444</v>
      </c>
      <c r="C1891" s="2" t="s">
        <v>6445</v>
      </c>
      <c r="D1891" s="2" t="s">
        <v>6446</v>
      </c>
      <c r="E1891" s="3">
        <v>41666</v>
      </c>
      <c r="F1891" s="2" t="s">
        <v>6447</v>
      </c>
      <c r="G1891" s="2"/>
      <c r="H1891" s="2" t="s">
        <v>2573</v>
      </c>
      <c r="I1891" s="2" t="s">
        <v>2426</v>
      </c>
      <c r="J1891" s="2"/>
      <c r="K1891" s="2" t="str">
        <f>HYPERLINK("https://docs.wto.org/imrd/directdoc.asp?DDFDocuments/t/G/SPS/NIDN87.DOC")</f>
        <v>https://docs.wto.org/imrd/directdoc.asp?DDFDocuments/t/G/SPS/NIDN87.DOC</v>
      </c>
      <c r="L1891" s="2" t="str">
        <f>HYPERLINK("https://docs.wto.org/imrd/directdoc.asp?DDFDocuments/u/G/SPS/NIDN87.DOC")</f>
        <v>https://docs.wto.org/imrd/directdoc.asp?DDFDocuments/u/G/SPS/NIDN87.DOC</v>
      </c>
      <c r="M1891" s="2" t="str">
        <f>HYPERLINK("https://docs.wto.org/imrd/directdoc.asp?DDFDocuments/v/G/SPS/NIDN87.DOC")</f>
        <v>https://docs.wto.org/imrd/directdoc.asp?DDFDocuments/v/G/SPS/NIDN87.DOC</v>
      </c>
      <c r="N1891" s="2" t="str">
        <f>HYPERLINK("http://www.epingalert.org/#/details/G/SPS/N/IDN/87")</f>
        <v>http://www.epingalert.org/#/details/G/SPS/N/IDN/87</v>
      </c>
      <c r="O1891" s="2"/>
    </row>
    <row r="1892" spans="1:15" ht="240" customHeight="1" outlineLevel="1" x14ac:dyDescent="0.25">
      <c r="A1892" s="2" t="s">
        <v>282</v>
      </c>
      <c r="B1892" s="2" t="s">
        <v>8811</v>
      </c>
      <c r="C1892" s="2"/>
      <c r="D1892" s="2"/>
      <c r="E1892" s="3">
        <v>41666</v>
      </c>
      <c r="F1892" s="2" t="s">
        <v>8755</v>
      </c>
      <c r="G1892" s="2" t="s">
        <v>8812</v>
      </c>
      <c r="H1892" s="2" t="s">
        <v>2573</v>
      </c>
      <c r="I1892" s="2" t="s">
        <v>2491</v>
      </c>
      <c r="J1892" s="2"/>
      <c r="K1892" s="2" t="str">
        <f>HYPERLINK("https://docs.wto.org/imrd/directdoc.asp?DDFDocuments/t/G/SPS/NRUS35A2.DOC")</f>
        <v>https://docs.wto.org/imrd/directdoc.asp?DDFDocuments/t/G/SPS/NRUS35A2.DOC</v>
      </c>
      <c r="L1892" s="2" t="str">
        <f>HYPERLINK("https://docs.wto.org/imrd/directdoc.asp?DDFDocuments/u/G/SPS/NRUS35A2.DOC")</f>
        <v>https://docs.wto.org/imrd/directdoc.asp?DDFDocuments/u/G/SPS/NRUS35A2.DOC</v>
      </c>
      <c r="M1892" s="2" t="str">
        <f>HYPERLINK("https://docs.wto.org/imrd/directdoc.asp?DDFDocuments/v/G/SPS/NRUS35A2.DOC")</f>
        <v>https://docs.wto.org/imrd/directdoc.asp?DDFDocuments/v/G/SPS/NRUS35A2.DOC</v>
      </c>
      <c r="N1892" s="2" t="str">
        <f>HYPERLINK("http://www.epingalert.org/#/details/G/SPS/N/RUS/35/Add.2")</f>
        <v>http://www.epingalert.org/#/details/G/SPS/N/RUS/35/Add.2</v>
      </c>
      <c r="O1892" s="2"/>
    </row>
    <row r="1893" spans="1:15" ht="240" customHeight="1" outlineLevel="1" x14ac:dyDescent="0.25">
      <c r="A1893" s="2" t="s">
        <v>42</v>
      </c>
      <c r="B1893" s="2" t="s">
        <v>6452</v>
      </c>
      <c r="C1893" s="2" t="s">
        <v>6453</v>
      </c>
      <c r="D1893" s="2" t="s">
        <v>6454</v>
      </c>
      <c r="E1893" s="3">
        <v>41663</v>
      </c>
      <c r="F1893" s="2" t="s">
        <v>6323</v>
      </c>
      <c r="G1893" s="2"/>
      <c r="H1893" s="2" t="s">
        <v>2573</v>
      </c>
      <c r="I1893" s="2" t="s">
        <v>4362</v>
      </c>
      <c r="J1893" s="3">
        <v>41666</v>
      </c>
      <c r="K1893" s="2" t="str">
        <f>HYPERLINK("https://docs.wto.org/imrd/directdoc.asp?DDFDocuments/t/G/SPS/NBRA918.DOC")</f>
        <v>https://docs.wto.org/imrd/directdoc.asp?DDFDocuments/t/G/SPS/NBRA918.DOC</v>
      </c>
      <c r="L1893" s="2" t="str">
        <f>HYPERLINK("https://docs.wto.org/imrd/directdoc.asp?DDFDocuments/u/G/SPS/NBRA918.DOC")</f>
        <v>https://docs.wto.org/imrd/directdoc.asp?DDFDocuments/u/G/SPS/NBRA918.DOC</v>
      </c>
      <c r="M1893" s="2" t="str">
        <f>HYPERLINK("https://docs.wto.org/imrd/directdoc.asp?DDFDocuments/v/G/SPS/NBRA918.DOC")</f>
        <v>https://docs.wto.org/imrd/directdoc.asp?DDFDocuments/v/G/SPS/NBRA918.DOC</v>
      </c>
      <c r="N1893" s="2" t="str">
        <f>HYPERLINK("http://www.epingalert.org/#/details/G/SPS/N/BRA/918")</f>
        <v>http://www.epingalert.org/#/details/G/SPS/N/BRA/918</v>
      </c>
      <c r="O1893" s="2"/>
    </row>
    <row r="1894" spans="1:15" ht="240" customHeight="1" outlineLevel="1" x14ac:dyDescent="0.25">
      <c r="A1894" s="2" t="s">
        <v>42</v>
      </c>
      <c r="B1894" s="2" t="s">
        <v>6455</v>
      </c>
      <c r="C1894" s="2" t="s">
        <v>6456</v>
      </c>
      <c r="D1894" s="2" t="s">
        <v>6457</v>
      </c>
      <c r="E1894" s="3">
        <v>41663</v>
      </c>
      <c r="F1894" s="2" t="s">
        <v>6458</v>
      </c>
      <c r="G1894" s="2"/>
      <c r="H1894" s="2" t="s">
        <v>2573</v>
      </c>
      <c r="I1894" s="2" t="s">
        <v>4362</v>
      </c>
      <c r="J1894" s="3">
        <v>41666</v>
      </c>
      <c r="K1894" s="2" t="str">
        <f>HYPERLINK("https://docs.wto.org/imrd/directdoc.asp?DDFDocuments/t/G/SPS/NBRA916.DOC")</f>
        <v>https://docs.wto.org/imrd/directdoc.asp?DDFDocuments/t/G/SPS/NBRA916.DOC</v>
      </c>
      <c r="L1894" s="2" t="str">
        <f>HYPERLINK("https://docs.wto.org/imrd/directdoc.asp?DDFDocuments/u/G/SPS/NBRA916.DOC")</f>
        <v>https://docs.wto.org/imrd/directdoc.asp?DDFDocuments/u/G/SPS/NBRA916.DOC</v>
      </c>
      <c r="M1894" s="2" t="str">
        <f>HYPERLINK("https://docs.wto.org/imrd/directdoc.asp?DDFDocuments/v/G/SPS/NBRA916.DOC")</f>
        <v>https://docs.wto.org/imrd/directdoc.asp?DDFDocuments/v/G/SPS/NBRA916.DOC</v>
      </c>
      <c r="N1894" s="2" t="str">
        <f>HYPERLINK("http://www.epingalert.org/#/details/G/SPS/N/BRA/916")</f>
        <v>http://www.epingalert.org/#/details/G/SPS/N/BRA/916</v>
      </c>
      <c r="O1894" s="2"/>
    </row>
    <row r="1895" spans="1:15" ht="240" customHeight="1" outlineLevel="1" x14ac:dyDescent="0.25">
      <c r="A1895" s="2" t="s">
        <v>115</v>
      </c>
      <c r="B1895" s="2" t="s">
        <v>6448</v>
      </c>
      <c r="C1895" s="2" t="s">
        <v>6449</v>
      </c>
      <c r="D1895" s="2" t="s">
        <v>6450</v>
      </c>
      <c r="E1895" s="3">
        <v>41663</v>
      </c>
      <c r="F1895" s="2" t="s">
        <v>6451</v>
      </c>
      <c r="G1895" s="2"/>
      <c r="H1895" s="2" t="s">
        <v>2573</v>
      </c>
      <c r="I1895" s="2" t="s">
        <v>2426</v>
      </c>
      <c r="J1895" s="2"/>
      <c r="K1895" s="2" t="str">
        <f>HYPERLINK("https://docs.wto.org/imrd/directdoc.asp?DDFDocuments/t/G/SPS/NJPN332.DOC")</f>
        <v>https://docs.wto.org/imrd/directdoc.asp?DDFDocuments/t/G/SPS/NJPN332.DOC</v>
      </c>
      <c r="L1895" s="2" t="str">
        <f>HYPERLINK("https://docs.wto.org/imrd/directdoc.asp?DDFDocuments/u/G/SPS/NJPN332.DOC")</f>
        <v>https://docs.wto.org/imrd/directdoc.asp?DDFDocuments/u/G/SPS/NJPN332.DOC</v>
      </c>
      <c r="M1895" s="2" t="str">
        <f>HYPERLINK("https://docs.wto.org/imrd/directdoc.asp?DDFDocuments/v/G/SPS/NJPN332.DOC")</f>
        <v>https://docs.wto.org/imrd/directdoc.asp?DDFDocuments/v/G/SPS/NJPN332.DOC</v>
      </c>
      <c r="N1895" s="2" t="str">
        <f>HYPERLINK("http://www.epingalert.org/#/details/G/SPS/N/JPN/332")</f>
        <v>http://www.epingalert.org/#/details/G/SPS/N/JPN/332</v>
      </c>
      <c r="O1895" s="2"/>
    </row>
    <row r="1896" spans="1:15" ht="240" customHeight="1" outlineLevel="1" x14ac:dyDescent="0.25">
      <c r="A1896" s="2" t="s">
        <v>1902</v>
      </c>
      <c r="B1896" s="2" t="s">
        <v>8813</v>
      </c>
      <c r="C1896" s="2"/>
      <c r="D1896" s="2"/>
      <c r="E1896" s="3">
        <v>41661</v>
      </c>
      <c r="F1896" s="2"/>
      <c r="G1896" s="2" t="s">
        <v>8768</v>
      </c>
      <c r="H1896" s="2" t="s">
        <v>2467</v>
      </c>
      <c r="I1896" s="2" t="s">
        <v>2444</v>
      </c>
      <c r="J1896" s="2"/>
      <c r="K1896" s="2" t="str">
        <f>HYPERLINK("https://docs.wto.org/imrd/directdoc.asp?DDFDocuments/t/G/SPS/NARG158A1.DOC")</f>
        <v>https://docs.wto.org/imrd/directdoc.asp?DDFDocuments/t/G/SPS/NARG158A1.DOC</v>
      </c>
      <c r="L1896" s="2" t="str">
        <f>HYPERLINK("https://docs.wto.org/imrd/directdoc.asp?DDFDocuments/u/G/SPS/NARG158A1.DOC")</f>
        <v>https://docs.wto.org/imrd/directdoc.asp?DDFDocuments/u/G/SPS/NARG158A1.DOC</v>
      </c>
      <c r="M1896" s="2" t="str">
        <f>HYPERLINK("https://docs.wto.org/imrd/directdoc.asp?DDFDocuments/v/G/SPS/NARG158A1.DOC")</f>
        <v>https://docs.wto.org/imrd/directdoc.asp?DDFDocuments/v/G/SPS/NARG158A1.DOC</v>
      </c>
      <c r="N1896" s="2" t="str">
        <f>HYPERLINK("http://www.epingalert.org/#/details/G/SPS/N/ARG/158/Add.1")</f>
        <v>http://www.epingalert.org/#/details/G/SPS/N/ARG/158/Add.1</v>
      </c>
      <c r="O1896" s="2"/>
    </row>
    <row r="1897" spans="1:15" ht="240" customHeight="1" outlineLevel="1" x14ac:dyDescent="0.25">
      <c r="A1897" s="2" t="s">
        <v>173</v>
      </c>
      <c r="B1897" s="2" t="s">
        <v>6459</v>
      </c>
      <c r="C1897" s="2" t="s">
        <v>6460</v>
      </c>
      <c r="D1897" s="2" t="s">
        <v>6461</v>
      </c>
      <c r="E1897" s="3">
        <v>41660</v>
      </c>
      <c r="F1897" s="2" t="s">
        <v>6462</v>
      </c>
      <c r="G1897" s="2"/>
      <c r="H1897" s="2" t="s">
        <v>2573</v>
      </c>
      <c r="I1897" s="2" t="s">
        <v>6463</v>
      </c>
      <c r="J1897" s="3">
        <v>41720</v>
      </c>
      <c r="K1897" s="2" t="str">
        <f>HYPERLINK("https://docs.wto.org/imrd/directdoc.asp?DDFDocuments/t/G/SPS/NSAU90.DOC")</f>
        <v>https://docs.wto.org/imrd/directdoc.asp?DDFDocuments/t/G/SPS/NSAU90.DOC</v>
      </c>
      <c r="L1897" s="2" t="str">
        <f>HYPERLINK("https://docs.wto.org/imrd/directdoc.asp?DDFDocuments/u/G/SPS/NSAU90.DOC")</f>
        <v>https://docs.wto.org/imrd/directdoc.asp?DDFDocuments/u/G/SPS/NSAU90.DOC</v>
      </c>
      <c r="M1897" s="2" t="str">
        <f>HYPERLINK("https://docs.wto.org/imrd/directdoc.asp?DDFDocuments/v/G/SPS/NSAU90.DOC")</f>
        <v>https://docs.wto.org/imrd/directdoc.asp?DDFDocuments/v/G/SPS/NSAU90.DOC</v>
      </c>
      <c r="N1897" s="2" t="str">
        <f>HYPERLINK("http://www.epingalert.org/#/details/G/SPS/N/SAU/90")</f>
        <v>http://www.epingalert.org/#/details/G/SPS/N/SAU/90</v>
      </c>
      <c r="O1897" s="2"/>
    </row>
    <row r="1898" spans="1:15" ht="240" customHeight="1" outlineLevel="1" x14ac:dyDescent="0.25">
      <c r="A1898" s="2" t="s">
        <v>173</v>
      </c>
      <c r="B1898" s="2" t="s">
        <v>6567</v>
      </c>
      <c r="C1898" s="2" t="s">
        <v>6568</v>
      </c>
      <c r="D1898" s="2" t="s">
        <v>6569</v>
      </c>
      <c r="E1898" s="3">
        <v>41660</v>
      </c>
      <c r="F1898" s="2" t="s">
        <v>6555</v>
      </c>
      <c r="G1898" s="2" t="s">
        <v>2049</v>
      </c>
      <c r="H1898" s="2" t="s">
        <v>2573</v>
      </c>
      <c r="I1898" s="2" t="s">
        <v>6570</v>
      </c>
      <c r="J1898" s="3">
        <v>41720</v>
      </c>
      <c r="K1898" s="2" t="str">
        <f>HYPERLINK("https://docs.wto.org/imrd/directdoc.asp?DDFDocuments/t/G/SPS/NSAU91.DOC")</f>
        <v>https://docs.wto.org/imrd/directdoc.asp?DDFDocuments/t/G/SPS/NSAU91.DOC</v>
      </c>
      <c r="L1898" s="2" t="str">
        <f>HYPERLINK("https://docs.wto.org/imrd/directdoc.asp?DDFDocuments/u/G/SPS/NSAU91.DOC")</f>
        <v>https://docs.wto.org/imrd/directdoc.asp?DDFDocuments/u/G/SPS/NSAU91.DOC</v>
      </c>
      <c r="M1898" s="2" t="str">
        <f>HYPERLINK("https://docs.wto.org/imrd/directdoc.asp?DDFDocuments/v/G/SPS/NSAU91.DOC")</f>
        <v>https://docs.wto.org/imrd/directdoc.asp?DDFDocuments/v/G/SPS/NSAU91.DOC</v>
      </c>
      <c r="N1898" s="2" t="str">
        <f>HYPERLINK("http://www.epingalert.org/#/details/G/SPS/N/SAU/91")</f>
        <v>http://www.epingalert.org/#/details/G/SPS/N/SAU/91</v>
      </c>
      <c r="O1898" s="2"/>
    </row>
    <row r="1899" spans="1:15" ht="240" customHeight="1" outlineLevel="1" x14ac:dyDescent="0.25">
      <c r="A1899" s="2" t="s">
        <v>31</v>
      </c>
      <c r="B1899" s="2" t="s">
        <v>6700</v>
      </c>
      <c r="C1899" s="2" t="s">
        <v>6701</v>
      </c>
      <c r="D1899" s="2" t="s">
        <v>6702</v>
      </c>
      <c r="E1899" s="3">
        <v>41659</v>
      </c>
      <c r="F1899" s="2" t="s">
        <v>6660</v>
      </c>
      <c r="G1899" s="2" t="s">
        <v>6703</v>
      </c>
      <c r="H1899" s="2" t="s">
        <v>2573</v>
      </c>
      <c r="I1899" s="2" t="s">
        <v>6549</v>
      </c>
      <c r="J1899" s="3">
        <v>41719</v>
      </c>
      <c r="K1899" s="2" t="str">
        <f>HYPERLINK("https://docs.wto.org/imrd/directdoc.asp?DDFDocuments/t/G/SPS/NTHA221.DOC")</f>
        <v>https://docs.wto.org/imrd/directdoc.asp?DDFDocuments/t/G/SPS/NTHA221.DOC</v>
      </c>
      <c r="L1899" s="2" t="str">
        <f>HYPERLINK("https://docs.wto.org/imrd/directdoc.asp?DDFDocuments/u/G/SPS/NTHA221.DOC")</f>
        <v>https://docs.wto.org/imrd/directdoc.asp?DDFDocuments/u/G/SPS/NTHA221.DOC</v>
      </c>
      <c r="M1899" s="2" t="str">
        <f>HYPERLINK("https://docs.wto.org/imrd/directdoc.asp?DDFDocuments/v/G/SPS/NTHA221.DOC")</f>
        <v>https://docs.wto.org/imrd/directdoc.asp?DDFDocuments/v/G/SPS/NTHA221.DOC</v>
      </c>
      <c r="N1899" s="2" t="str">
        <f>HYPERLINK("http://www.epingalert.org/#/details/G/SPS/N/THA/221")</f>
        <v>http://www.epingalert.org/#/details/G/SPS/N/THA/221</v>
      </c>
      <c r="O1899" s="2"/>
    </row>
    <row r="1900" spans="1:15" ht="240" customHeight="1" outlineLevel="1" x14ac:dyDescent="0.25">
      <c r="A1900" s="2" t="s">
        <v>115</v>
      </c>
      <c r="B1900" s="2" t="s">
        <v>8814</v>
      </c>
      <c r="C1900" s="2" t="s">
        <v>8815</v>
      </c>
      <c r="D1900" s="2" t="s">
        <v>8816</v>
      </c>
      <c r="E1900" s="3">
        <v>41659</v>
      </c>
      <c r="F1900" s="2" t="s">
        <v>8817</v>
      </c>
      <c r="G1900" s="2" t="s">
        <v>6227</v>
      </c>
      <c r="H1900" s="2" t="s">
        <v>2467</v>
      </c>
      <c r="I1900" s="2" t="s">
        <v>8818</v>
      </c>
      <c r="J1900" s="2"/>
      <c r="K1900" s="2" t="str">
        <f>HYPERLINK("https://docs.wto.org/imrd/directdoc.asp?DDFDocuments/t/G/SPS/NJPN331.DOC")</f>
        <v>https://docs.wto.org/imrd/directdoc.asp?DDFDocuments/t/G/SPS/NJPN331.DOC</v>
      </c>
      <c r="L1900" s="2" t="str">
        <f>HYPERLINK("https://docs.wto.org/imrd/directdoc.asp?DDFDocuments/u/G/SPS/NJPN331.DOC")</f>
        <v>https://docs.wto.org/imrd/directdoc.asp?DDFDocuments/u/G/SPS/NJPN331.DOC</v>
      </c>
      <c r="M1900" s="2" t="str">
        <f>HYPERLINK("https://docs.wto.org/imrd/directdoc.asp?DDFDocuments/v/G/SPS/NJPN331.DOC")</f>
        <v>https://docs.wto.org/imrd/directdoc.asp?DDFDocuments/v/G/SPS/NJPN331.DOC</v>
      </c>
      <c r="N1900" s="2" t="str">
        <f>HYPERLINK("http://www.epingalert.org/#/details/G/SPS/N/JPN/331")</f>
        <v>http://www.epingalert.org/#/details/G/SPS/N/JPN/331</v>
      </c>
      <c r="O1900" s="2"/>
    </row>
    <row r="1901" spans="1:15" ht="240" customHeight="1" outlineLevel="1" x14ac:dyDescent="0.25">
      <c r="A1901" s="2" t="s">
        <v>178</v>
      </c>
      <c r="B1901" s="2" t="s">
        <v>6467</v>
      </c>
      <c r="C1901" s="2" t="s">
        <v>6468</v>
      </c>
      <c r="D1901" s="2" t="s">
        <v>6469</v>
      </c>
      <c r="E1901" s="3">
        <v>41655</v>
      </c>
      <c r="F1901" s="2" t="s">
        <v>6313</v>
      </c>
      <c r="G1901" s="2"/>
      <c r="H1901" s="2" t="s">
        <v>2573</v>
      </c>
      <c r="I1901" s="2" t="s">
        <v>2669</v>
      </c>
      <c r="J1901" s="3">
        <v>41715</v>
      </c>
      <c r="K1901" s="2" t="str">
        <f>HYPERLINK("https://docs.wto.org/imrd/directdoc.asp?DDFDocuments/t/G/SPS/NQAT46.DOC")</f>
        <v>https://docs.wto.org/imrd/directdoc.asp?DDFDocuments/t/G/SPS/NQAT46.DOC</v>
      </c>
      <c r="L1901" s="2" t="str">
        <f>HYPERLINK("https://docs.wto.org/imrd/directdoc.asp?DDFDocuments/u/G/SPS/NQAT46.DOC")</f>
        <v>https://docs.wto.org/imrd/directdoc.asp?DDFDocuments/u/G/SPS/NQAT46.DOC</v>
      </c>
      <c r="M1901" s="2" t="str">
        <f>HYPERLINK("https://docs.wto.org/imrd/directdoc.asp?DDFDocuments/v/G/SPS/NQAT46.DOC")</f>
        <v>https://docs.wto.org/imrd/directdoc.asp?DDFDocuments/v/G/SPS/NQAT46.DOC</v>
      </c>
      <c r="N1901" s="2" t="str">
        <f>HYPERLINK("http://www.epingalert.org/#/details/G/SPS/N/QAT/46")</f>
        <v>http://www.epingalert.org/#/details/G/SPS/N/QAT/46</v>
      </c>
      <c r="O1901" s="2"/>
    </row>
    <row r="1902" spans="1:15" ht="240" customHeight="1" outlineLevel="1" x14ac:dyDescent="0.25">
      <c r="A1902" s="2" t="s">
        <v>178</v>
      </c>
      <c r="B1902" s="2" t="s">
        <v>8821</v>
      </c>
      <c r="C1902" s="2" t="s">
        <v>8822</v>
      </c>
      <c r="D1902" s="2" t="s">
        <v>8823</v>
      </c>
      <c r="E1902" s="3">
        <v>41655</v>
      </c>
      <c r="F1902" s="2" t="s">
        <v>8824</v>
      </c>
      <c r="G1902" s="2" t="s">
        <v>7822</v>
      </c>
      <c r="H1902" s="2" t="s">
        <v>2573</v>
      </c>
      <c r="I1902" s="2" t="s">
        <v>4496</v>
      </c>
      <c r="J1902" s="3">
        <v>41715</v>
      </c>
      <c r="K1902" s="2" t="str">
        <f>HYPERLINK("https://docs.wto.org/imrd/directdoc.asp?DDFDocuments/t/G/SPS/NQAT45.DOC")</f>
        <v>https://docs.wto.org/imrd/directdoc.asp?DDFDocuments/t/G/SPS/NQAT45.DOC</v>
      </c>
      <c r="L1902" s="2" t="str">
        <f>HYPERLINK("https://docs.wto.org/imrd/directdoc.asp?DDFDocuments/u/G/SPS/NQAT45.DOC")</f>
        <v>https://docs.wto.org/imrd/directdoc.asp?DDFDocuments/u/G/SPS/NQAT45.DOC</v>
      </c>
      <c r="M1902" s="2" t="str">
        <f>HYPERLINK("https://docs.wto.org/imrd/directdoc.asp?DDFDocuments/v/G/SPS/NQAT45.DOC")</f>
        <v>https://docs.wto.org/imrd/directdoc.asp?DDFDocuments/v/G/SPS/NQAT45.DOC</v>
      </c>
      <c r="N1902" s="2" t="str">
        <f>HYPERLINK("http://www.epingalert.org/#/details/G/SPS/N/QAT/45")</f>
        <v>http://www.epingalert.org/#/details/G/SPS/N/QAT/45</v>
      </c>
      <c r="O1902" s="2"/>
    </row>
    <row r="1903" spans="1:15" ht="240" customHeight="1" outlineLevel="1" x14ac:dyDescent="0.25">
      <c r="A1903" s="2" t="s">
        <v>178</v>
      </c>
      <c r="B1903" s="2" t="s">
        <v>8825</v>
      </c>
      <c r="C1903" s="2" t="s">
        <v>8826</v>
      </c>
      <c r="D1903" s="2" t="s">
        <v>8827</v>
      </c>
      <c r="E1903" s="3">
        <v>41655</v>
      </c>
      <c r="F1903" s="2" t="s">
        <v>8828</v>
      </c>
      <c r="G1903" s="2" t="s">
        <v>8829</v>
      </c>
      <c r="H1903" s="2" t="s">
        <v>2573</v>
      </c>
      <c r="I1903" s="2" t="s">
        <v>2461</v>
      </c>
      <c r="J1903" s="3">
        <v>41715</v>
      </c>
      <c r="K1903" s="2" t="str">
        <f>HYPERLINK("https://docs.wto.org/imrd/directdoc.asp?DDFDocuments/t/G/SPS/NQAT44.DOC")</f>
        <v>https://docs.wto.org/imrd/directdoc.asp?DDFDocuments/t/G/SPS/NQAT44.DOC</v>
      </c>
      <c r="L1903" s="2" t="str">
        <f>HYPERLINK("https://docs.wto.org/imrd/directdoc.asp?DDFDocuments/u/G/SPS/NQAT44.DOC")</f>
        <v>https://docs.wto.org/imrd/directdoc.asp?DDFDocuments/u/G/SPS/NQAT44.DOC</v>
      </c>
      <c r="M1903" s="2" t="str">
        <f>HYPERLINK("https://docs.wto.org/imrd/directdoc.asp?DDFDocuments/v/G/SPS/NQAT44.DOC")</f>
        <v>https://docs.wto.org/imrd/directdoc.asp?DDFDocuments/v/G/SPS/NQAT44.DOC</v>
      </c>
      <c r="N1903" s="2" t="str">
        <f>HYPERLINK("http://www.epingalert.org/#/details/G/SPS/N/QAT/44")</f>
        <v>http://www.epingalert.org/#/details/G/SPS/N/QAT/44</v>
      </c>
      <c r="O1903" s="2"/>
    </row>
    <row r="1904" spans="1:15" ht="240" customHeight="1" outlineLevel="1" x14ac:dyDescent="0.25">
      <c r="A1904" s="2" t="s">
        <v>12</v>
      </c>
      <c r="B1904" s="2" t="s">
        <v>6464</v>
      </c>
      <c r="C1904" s="2"/>
      <c r="D1904" s="2"/>
      <c r="E1904" s="3">
        <v>41655</v>
      </c>
      <c r="F1904" s="2" t="s">
        <v>3264</v>
      </c>
      <c r="G1904" s="2"/>
      <c r="H1904" s="2" t="s">
        <v>2573</v>
      </c>
      <c r="I1904" s="2" t="s">
        <v>2461</v>
      </c>
      <c r="J1904" s="2"/>
      <c r="K1904" s="2" t="str">
        <f>HYPERLINK("https://docs.wto.org/imrd/directdoc.asp?DDFDocuments/t/G/SPS/NEU64A1.DOC")</f>
        <v>https://docs.wto.org/imrd/directdoc.asp?DDFDocuments/t/G/SPS/NEU64A1.DOC</v>
      </c>
      <c r="L1904" s="2" t="str">
        <f>HYPERLINK("https://docs.wto.org/imrd/directdoc.asp?DDFDocuments/u/G/SPS/NEU64A1.DOC")</f>
        <v>https://docs.wto.org/imrd/directdoc.asp?DDFDocuments/u/G/SPS/NEU64A1.DOC</v>
      </c>
      <c r="M1904" s="2" t="str">
        <f>HYPERLINK("https://docs.wto.org/imrd/directdoc.asp?DDFDocuments/v/G/SPS/NEU64A1.DOC")</f>
        <v>https://docs.wto.org/imrd/directdoc.asp?DDFDocuments/v/G/SPS/NEU64A1.DOC</v>
      </c>
      <c r="N1904" s="2" t="str">
        <f>HYPERLINK("http://www.epingalert.org/#/details/G/SPS/N/EU/64/Add.1")</f>
        <v>http://www.epingalert.org/#/details/G/SPS/N/EU/64/Add.1</v>
      </c>
      <c r="O1904" s="2"/>
    </row>
    <row r="1905" spans="1:15" ht="240" customHeight="1" outlineLevel="1" x14ac:dyDescent="0.25">
      <c r="A1905" s="2" t="s">
        <v>1908</v>
      </c>
      <c r="B1905" s="2" t="s">
        <v>6465</v>
      </c>
      <c r="C1905" s="2"/>
      <c r="D1905" s="2"/>
      <c r="E1905" s="3">
        <v>41655</v>
      </c>
      <c r="F1905" s="2" t="s">
        <v>6466</v>
      </c>
      <c r="G1905" s="2"/>
      <c r="H1905" s="2" t="s">
        <v>2573</v>
      </c>
      <c r="I1905" s="2" t="s">
        <v>2453</v>
      </c>
      <c r="J1905" s="2"/>
      <c r="K1905" s="2" t="str">
        <f>HYPERLINK("https://docs.wto.org/imrd/directdoc.asp?DDFDocuments/t/G/SPS/NCAN741A1.DOC")</f>
        <v>https://docs.wto.org/imrd/directdoc.asp?DDFDocuments/t/G/SPS/NCAN741A1.DOC</v>
      </c>
      <c r="L1905" s="2" t="str">
        <f>HYPERLINK("https://docs.wto.org/imrd/directdoc.asp?DDFDocuments/u/G/SPS/NCAN741A1.DOC")</f>
        <v>https://docs.wto.org/imrd/directdoc.asp?DDFDocuments/u/G/SPS/NCAN741A1.DOC</v>
      </c>
      <c r="M1905" s="2" t="str">
        <f>HYPERLINK("https://docs.wto.org/imrd/directdoc.asp?DDFDocuments/v/G/SPS/NCAN741A1.DOC")</f>
        <v>https://docs.wto.org/imrd/directdoc.asp?DDFDocuments/v/G/SPS/NCAN741A1.DOC</v>
      </c>
      <c r="N1905" s="2" t="str">
        <f>HYPERLINK("http://www.epingalert.org/#/details/G/SPS/N/CAN/741/Add.1")</f>
        <v>http://www.epingalert.org/#/details/G/SPS/N/CAN/741/Add.1</v>
      </c>
      <c r="O1905" s="2"/>
    </row>
    <row r="1906" spans="1:15" ht="240" customHeight="1" outlineLevel="1" x14ac:dyDescent="0.25">
      <c r="A1906" s="2" t="s">
        <v>282</v>
      </c>
      <c r="B1906" s="2" t="s">
        <v>8819</v>
      </c>
      <c r="C1906" s="2"/>
      <c r="D1906" s="2"/>
      <c r="E1906" s="3">
        <v>41655</v>
      </c>
      <c r="F1906" s="2" t="s">
        <v>8755</v>
      </c>
      <c r="G1906" s="2" t="s">
        <v>8820</v>
      </c>
      <c r="H1906" s="2" t="s">
        <v>2573</v>
      </c>
      <c r="I1906" s="2" t="s">
        <v>2491</v>
      </c>
      <c r="J1906" s="2"/>
      <c r="K1906" s="2" t="str">
        <f>HYPERLINK("https://docs.wto.org/imrd/directdoc.asp?DDFDocuments/t/G/SPS/NRUS35A1.DOC")</f>
        <v>https://docs.wto.org/imrd/directdoc.asp?DDFDocuments/t/G/SPS/NRUS35A1.DOC</v>
      </c>
      <c r="L1906" s="2" t="str">
        <f>HYPERLINK("https://docs.wto.org/imrd/directdoc.asp?DDFDocuments/u/G/SPS/NRUS35A1.DOC")</f>
        <v>https://docs.wto.org/imrd/directdoc.asp?DDFDocuments/u/G/SPS/NRUS35A1.DOC</v>
      </c>
      <c r="M1906" s="2" t="str">
        <f>HYPERLINK("https://docs.wto.org/imrd/directdoc.asp?DDFDocuments/v/G/SPS/NRUS35A1.DOC")</f>
        <v>https://docs.wto.org/imrd/directdoc.asp?DDFDocuments/v/G/SPS/NRUS35A1.DOC</v>
      </c>
      <c r="N1906" s="2" t="str">
        <f>HYPERLINK("http://www.epingalert.org/#/details/G/SPS/N/RUS/35/Add.1")</f>
        <v>http://www.epingalert.org/#/details/G/SPS/N/RUS/35/Add.1</v>
      </c>
      <c r="O1906" s="2"/>
    </row>
    <row r="1907" spans="1:15" ht="240" customHeight="1" outlineLevel="1" x14ac:dyDescent="0.25">
      <c r="A1907" s="2" t="s">
        <v>1908</v>
      </c>
      <c r="B1907" s="2" t="s">
        <v>8833</v>
      </c>
      <c r="C1907" s="2" t="s">
        <v>8834</v>
      </c>
      <c r="D1907" s="2" t="s">
        <v>8835</v>
      </c>
      <c r="E1907" s="3">
        <v>41653</v>
      </c>
      <c r="F1907" s="2" t="s">
        <v>8291</v>
      </c>
      <c r="G1907" s="2" t="s">
        <v>8292</v>
      </c>
      <c r="H1907" s="2" t="s">
        <v>2573</v>
      </c>
      <c r="I1907" s="2" t="s">
        <v>2426</v>
      </c>
      <c r="J1907" s="3">
        <v>41716</v>
      </c>
      <c r="K1907" s="2" t="str">
        <f>HYPERLINK("https://docs.wto.org/imrd/directdoc.asp?DDFDocuments/t/G/SPS/NCAN787.DOC")</f>
        <v>https://docs.wto.org/imrd/directdoc.asp?DDFDocuments/t/G/SPS/NCAN787.DOC</v>
      </c>
      <c r="L1907" s="2" t="str">
        <f>HYPERLINK("https://docs.wto.org/imrd/directdoc.asp?DDFDocuments/u/G/SPS/NCAN787.DOC")</f>
        <v>https://docs.wto.org/imrd/directdoc.asp?DDFDocuments/u/G/SPS/NCAN787.DOC</v>
      </c>
      <c r="M1907" s="2" t="str">
        <f>HYPERLINK("https://docs.wto.org/imrd/directdoc.asp?DDFDocuments/v/G/SPS/NCAN787.DOC")</f>
        <v>https://docs.wto.org/imrd/directdoc.asp?DDFDocuments/v/G/SPS/NCAN787.DOC</v>
      </c>
      <c r="N1907" s="2" t="str">
        <f>HYPERLINK("http://www.epingalert.org/#/details/G/SPS/N/CAN/787")</f>
        <v>http://www.epingalert.org/#/details/G/SPS/N/CAN/787</v>
      </c>
      <c r="O1907" s="2"/>
    </row>
    <row r="1908" spans="1:15" ht="240" customHeight="1" outlineLevel="1" x14ac:dyDescent="0.25">
      <c r="A1908" s="2" t="s">
        <v>282</v>
      </c>
      <c r="B1908" s="2" t="s">
        <v>8830</v>
      </c>
      <c r="C1908" s="2"/>
      <c r="D1908" s="2"/>
      <c r="E1908" s="3">
        <v>41653</v>
      </c>
      <c r="F1908" s="2" t="s">
        <v>8831</v>
      </c>
      <c r="G1908" s="2" t="s">
        <v>8832</v>
      </c>
      <c r="H1908" s="2" t="s">
        <v>2648</v>
      </c>
      <c r="I1908" s="2" t="s">
        <v>7034</v>
      </c>
      <c r="J1908" s="2"/>
      <c r="K1908" s="2" t="str">
        <f>HYPERLINK("https://docs.wto.org/imrd/directdoc.asp?DDFDocuments/t/G/SPS/NRUS3A1.DOC")</f>
        <v>https://docs.wto.org/imrd/directdoc.asp?DDFDocuments/t/G/SPS/NRUS3A1.DOC</v>
      </c>
      <c r="L1908" s="2" t="str">
        <f>HYPERLINK("https://docs.wto.org/imrd/directdoc.asp?DDFDocuments/u/G/SPS/NRUS3A1.DOC")</f>
        <v>https://docs.wto.org/imrd/directdoc.asp?DDFDocuments/u/G/SPS/NRUS3A1.DOC</v>
      </c>
      <c r="M1908" s="2" t="str">
        <f>HYPERLINK("https://docs.wto.org/imrd/directdoc.asp?DDFDocuments/v/G/SPS/NRUS3A1.DOC")</f>
        <v>https://docs.wto.org/imrd/directdoc.asp?DDFDocuments/v/G/SPS/NRUS3A1.DOC</v>
      </c>
      <c r="N1908" s="2" t="str">
        <f>HYPERLINK("http://www.epingalert.org/#/details/G/SPS/N/RUS/3/Add.1")</f>
        <v>http://www.epingalert.org/#/details/G/SPS/N/RUS/3/Add.1</v>
      </c>
      <c r="O1908" s="2"/>
    </row>
    <row r="1909" spans="1:15" ht="240" customHeight="1" outlineLevel="1" x14ac:dyDescent="0.25">
      <c r="A1909" s="2" t="s">
        <v>18</v>
      </c>
      <c r="B1909" s="2" t="s">
        <v>6704</v>
      </c>
      <c r="C1909" s="2" t="s">
        <v>6705</v>
      </c>
      <c r="D1909" s="2" t="s">
        <v>6706</v>
      </c>
      <c r="E1909" s="3">
        <v>41652</v>
      </c>
      <c r="F1909" s="2" t="s">
        <v>6689</v>
      </c>
      <c r="G1909" s="2" t="s">
        <v>6707</v>
      </c>
      <c r="H1909" s="2" t="s">
        <v>2573</v>
      </c>
      <c r="I1909" s="2" t="s">
        <v>2535</v>
      </c>
      <c r="J1909" s="3">
        <v>41729</v>
      </c>
      <c r="K1909" s="2" t="str">
        <f>HYPERLINK("https://docs.wto.org/imrd/directdoc.asp?DDFDocuments/t/G/SPS/NUSA2611.DOC")</f>
        <v>https://docs.wto.org/imrd/directdoc.asp?DDFDocuments/t/G/SPS/NUSA2611.DOC</v>
      </c>
      <c r="L1909" s="2" t="str">
        <f>HYPERLINK("https://docs.wto.org/imrd/directdoc.asp?DDFDocuments/u/G/SPS/NUSA2611.DOC")</f>
        <v>https://docs.wto.org/imrd/directdoc.asp?DDFDocuments/u/G/SPS/NUSA2611.DOC</v>
      </c>
      <c r="M1909" s="2" t="str">
        <f>HYPERLINK("https://docs.wto.org/imrd/directdoc.asp?DDFDocuments/v/G/SPS/NUSA2611.DOC")</f>
        <v>https://docs.wto.org/imrd/directdoc.asp?DDFDocuments/v/G/SPS/NUSA2611.DOC</v>
      </c>
      <c r="N1909" s="2" t="str">
        <f>HYPERLINK("http://www.epingalert.org/#/details/G/SPS/N/USA/2611")</f>
        <v>http://www.epingalert.org/#/details/G/SPS/N/USA/2611</v>
      </c>
      <c r="O1909" s="2"/>
    </row>
    <row r="1910" spans="1:15" ht="240" customHeight="1" outlineLevel="1" x14ac:dyDescent="0.25">
      <c r="A1910" s="2" t="s">
        <v>18</v>
      </c>
      <c r="B1910" s="2" t="s">
        <v>6708</v>
      </c>
      <c r="C1910" s="2" t="s">
        <v>6709</v>
      </c>
      <c r="D1910" s="2" t="s">
        <v>6710</v>
      </c>
      <c r="E1910" s="3">
        <v>41652</v>
      </c>
      <c r="F1910" s="2" t="s">
        <v>6601</v>
      </c>
      <c r="G1910" s="2" t="s">
        <v>6711</v>
      </c>
      <c r="H1910" s="2" t="s">
        <v>2573</v>
      </c>
      <c r="I1910" s="2" t="s">
        <v>2535</v>
      </c>
      <c r="J1910" s="3">
        <v>41729</v>
      </c>
      <c r="K1910" s="2" t="str">
        <f>HYPERLINK("https://docs.wto.org/imrd/directdoc.asp?DDFDocuments/t/G/SPS/NUSA2610.DOC")</f>
        <v>https://docs.wto.org/imrd/directdoc.asp?DDFDocuments/t/G/SPS/NUSA2610.DOC</v>
      </c>
      <c r="L1910" s="2" t="str">
        <f>HYPERLINK("https://docs.wto.org/imrd/directdoc.asp?DDFDocuments/u/G/SPS/NUSA2610.DOC")</f>
        <v>https://docs.wto.org/imrd/directdoc.asp?DDFDocuments/u/G/SPS/NUSA2610.DOC</v>
      </c>
      <c r="M1910" s="2" t="str">
        <f>HYPERLINK("https://docs.wto.org/imrd/directdoc.asp?DDFDocuments/v/G/SPS/NUSA2610.DOC")</f>
        <v>https://docs.wto.org/imrd/directdoc.asp?DDFDocuments/v/G/SPS/NUSA2610.DOC</v>
      </c>
      <c r="N1910" s="2" t="str">
        <f>HYPERLINK("http://www.epingalert.org/#/details/G/SPS/N/USA/2610")</f>
        <v>http://www.epingalert.org/#/details/G/SPS/N/USA/2610</v>
      </c>
      <c r="O1910" s="2"/>
    </row>
    <row r="1911" spans="1:15" ht="240" customHeight="1" outlineLevel="1" x14ac:dyDescent="0.25">
      <c r="A1911" s="2" t="s">
        <v>115</v>
      </c>
      <c r="B1911" s="2" t="s">
        <v>8844</v>
      </c>
      <c r="C1911" s="2" t="s">
        <v>7507</v>
      </c>
      <c r="D1911" s="2" t="s">
        <v>8845</v>
      </c>
      <c r="E1911" s="3">
        <v>41652</v>
      </c>
      <c r="F1911" s="2" t="s">
        <v>8846</v>
      </c>
      <c r="G1911" s="2" t="s">
        <v>8847</v>
      </c>
      <c r="H1911" s="2" t="s">
        <v>2573</v>
      </c>
      <c r="I1911" s="2" t="s">
        <v>8848</v>
      </c>
      <c r="J1911" s="3">
        <v>41712</v>
      </c>
      <c r="K1911" s="2" t="str">
        <f>HYPERLINK("https://docs.wto.org/imrd/directdoc.asp?DDFDocuments/t/G/SPS/NJPN329.DOC")</f>
        <v>https://docs.wto.org/imrd/directdoc.asp?DDFDocuments/t/G/SPS/NJPN329.DOC</v>
      </c>
      <c r="L1911" s="2" t="str">
        <f>HYPERLINK("https://docs.wto.org/imrd/directdoc.asp?DDFDocuments/u/G/SPS/NJPN329.DOC")</f>
        <v>https://docs.wto.org/imrd/directdoc.asp?DDFDocuments/u/G/SPS/NJPN329.DOC</v>
      </c>
      <c r="M1911" s="2" t="str">
        <f>HYPERLINK("https://docs.wto.org/imrd/directdoc.asp?DDFDocuments/v/G/SPS/NJPN329.DOC")</f>
        <v>https://docs.wto.org/imrd/directdoc.asp?DDFDocuments/v/G/SPS/NJPN329.DOC</v>
      </c>
      <c r="N1911" s="2" t="str">
        <f>HYPERLINK("http://www.epingalert.org/#/details/G/SPS/N/JPN/329")</f>
        <v>http://www.epingalert.org/#/details/G/SPS/N/JPN/329</v>
      </c>
      <c r="O1911" s="2"/>
    </row>
    <row r="1912" spans="1:15" ht="240" customHeight="1" outlineLevel="1" x14ac:dyDescent="0.25">
      <c r="A1912" s="2" t="s">
        <v>115</v>
      </c>
      <c r="B1912" s="2" t="s">
        <v>8849</v>
      </c>
      <c r="C1912" s="2" t="s">
        <v>7507</v>
      </c>
      <c r="D1912" s="2" t="s">
        <v>8850</v>
      </c>
      <c r="E1912" s="3">
        <v>41652</v>
      </c>
      <c r="F1912" s="2" t="s">
        <v>8851</v>
      </c>
      <c r="G1912" s="2" t="s">
        <v>8852</v>
      </c>
      <c r="H1912" s="2" t="s">
        <v>2573</v>
      </c>
      <c r="I1912" s="2" t="s">
        <v>2453</v>
      </c>
      <c r="J1912" s="3">
        <v>41712</v>
      </c>
      <c r="K1912" s="2" t="str">
        <f>HYPERLINK("https://docs.wto.org/imrd/directdoc.asp?DDFDocuments/t/G/SPS/NJPN328.DOC")</f>
        <v>https://docs.wto.org/imrd/directdoc.asp?DDFDocuments/t/G/SPS/NJPN328.DOC</v>
      </c>
      <c r="L1912" s="2" t="str">
        <f>HYPERLINK("https://docs.wto.org/imrd/directdoc.asp?DDFDocuments/u/G/SPS/NJPN328.DOC")</f>
        <v>https://docs.wto.org/imrd/directdoc.asp?DDFDocuments/u/G/SPS/NJPN328.DOC</v>
      </c>
      <c r="M1912" s="2" t="str">
        <f>HYPERLINK("https://docs.wto.org/imrd/directdoc.asp?DDFDocuments/v/G/SPS/NJPN328.DOC")</f>
        <v>https://docs.wto.org/imrd/directdoc.asp?DDFDocuments/v/G/SPS/NJPN328.DOC</v>
      </c>
      <c r="N1912" s="2" t="str">
        <f>HYPERLINK("http://www.epingalert.org/#/details/G/SPS/N/JPN/328")</f>
        <v>http://www.epingalert.org/#/details/G/SPS/N/JPN/328</v>
      </c>
      <c r="O1912" s="2"/>
    </row>
    <row r="1913" spans="1:15" ht="240" customHeight="1" outlineLevel="1" x14ac:dyDescent="0.25">
      <c r="A1913" s="2" t="s">
        <v>115</v>
      </c>
      <c r="B1913" s="2" t="s">
        <v>8853</v>
      </c>
      <c r="C1913" s="2" t="s">
        <v>7507</v>
      </c>
      <c r="D1913" s="2" t="s">
        <v>8854</v>
      </c>
      <c r="E1913" s="3">
        <v>41652</v>
      </c>
      <c r="F1913" s="2" t="s">
        <v>6775</v>
      </c>
      <c r="G1913" s="2" t="s">
        <v>8855</v>
      </c>
      <c r="H1913" s="2" t="s">
        <v>2573</v>
      </c>
      <c r="I1913" s="2" t="s">
        <v>2453</v>
      </c>
      <c r="J1913" s="3">
        <v>41712</v>
      </c>
      <c r="K1913" s="2" t="str">
        <f>HYPERLINK("https://docs.wto.org/imrd/directdoc.asp?DDFDocuments/t/G/SPS/NJPN327.DOC")</f>
        <v>https://docs.wto.org/imrd/directdoc.asp?DDFDocuments/t/G/SPS/NJPN327.DOC</v>
      </c>
      <c r="L1913" s="2" t="str">
        <f>HYPERLINK("https://docs.wto.org/imrd/directdoc.asp?DDFDocuments/u/G/SPS/NJPN327.DOC")</f>
        <v>https://docs.wto.org/imrd/directdoc.asp?DDFDocuments/u/G/SPS/NJPN327.DOC</v>
      </c>
      <c r="M1913" s="2" t="str">
        <f>HYPERLINK("https://docs.wto.org/imrd/directdoc.asp?DDFDocuments/v/G/SPS/NJPN327.DOC")</f>
        <v>https://docs.wto.org/imrd/directdoc.asp?DDFDocuments/v/G/SPS/NJPN327.DOC</v>
      </c>
      <c r="N1913" s="2" t="str">
        <f>HYPERLINK("http://www.epingalert.org/#/details/G/SPS/N/JPN/327")</f>
        <v>http://www.epingalert.org/#/details/G/SPS/N/JPN/327</v>
      </c>
      <c r="O1913" s="2"/>
    </row>
    <row r="1914" spans="1:15" ht="240" customHeight="1" outlineLevel="1" x14ac:dyDescent="0.25">
      <c r="A1914" s="2" t="s">
        <v>18</v>
      </c>
      <c r="B1914" s="2" t="s">
        <v>8841</v>
      </c>
      <c r="C1914" s="2" t="s">
        <v>8842</v>
      </c>
      <c r="D1914" s="2" t="s">
        <v>8843</v>
      </c>
      <c r="E1914" s="3">
        <v>41652</v>
      </c>
      <c r="F1914" s="2" t="s">
        <v>7568</v>
      </c>
      <c r="G1914" s="2" t="s">
        <v>7267</v>
      </c>
      <c r="H1914" s="2" t="s">
        <v>2467</v>
      </c>
      <c r="I1914" s="2" t="s">
        <v>2455</v>
      </c>
      <c r="J1914" s="3">
        <v>41691</v>
      </c>
      <c r="K1914" s="2" t="str">
        <f>HYPERLINK("https://docs.wto.org/imrd/directdoc.asp?DDFDocuments/t/G/SPS/NUSA2617.DOC")</f>
        <v>https://docs.wto.org/imrd/directdoc.asp?DDFDocuments/t/G/SPS/NUSA2617.DOC</v>
      </c>
      <c r="L1914" s="2" t="str">
        <f>HYPERLINK("https://docs.wto.org/imrd/directdoc.asp?DDFDocuments/u/G/SPS/NUSA2617.DOC")</f>
        <v>https://docs.wto.org/imrd/directdoc.asp?DDFDocuments/u/G/SPS/NUSA2617.DOC</v>
      </c>
      <c r="M1914" s="2" t="str">
        <f>HYPERLINK("https://docs.wto.org/imrd/directdoc.asp?DDFDocuments/v/G/SPS/NUSA2617.DOC")</f>
        <v>https://docs.wto.org/imrd/directdoc.asp?DDFDocuments/v/G/SPS/NUSA2617.DOC</v>
      </c>
      <c r="N1914" s="2" t="str">
        <f>HYPERLINK("http://www.epingalert.org/#/details/G/SPS/N/USA/2617")</f>
        <v>http://www.epingalert.org/#/details/G/SPS/N/USA/2617</v>
      </c>
      <c r="O1914" s="2"/>
    </row>
    <row r="1915" spans="1:15" ht="240" customHeight="1" outlineLevel="1" x14ac:dyDescent="0.25">
      <c r="A1915" s="2" t="s">
        <v>12</v>
      </c>
      <c r="B1915" s="2" t="s">
        <v>8836</v>
      </c>
      <c r="C1915" s="2" t="s">
        <v>8837</v>
      </c>
      <c r="D1915" s="2" t="s">
        <v>8838</v>
      </c>
      <c r="E1915" s="3">
        <v>41652</v>
      </c>
      <c r="F1915" s="2" t="s">
        <v>8839</v>
      </c>
      <c r="G1915" s="2" t="s">
        <v>8840</v>
      </c>
      <c r="H1915" s="2" t="s">
        <v>2573</v>
      </c>
      <c r="I1915" s="2" t="s">
        <v>3081</v>
      </c>
      <c r="J1915" s="2"/>
      <c r="K1915" s="2" t="str">
        <f>HYPERLINK("https://docs.wto.org/imrd/directdoc.asp?DDFDocuments/t/G/SPS/NEU65.DOC")</f>
        <v>https://docs.wto.org/imrd/directdoc.asp?DDFDocuments/t/G/SPS/NEU65.DOC</v>
      </c>
      <c r="L1915" s="2" t="str">
        <f>HYPERLINK("https://docs.wto.org/imrd/directdoc.asp?DDFDocuments/u/G/SPS/NEU65.DOC")</f>
        <v>https://docs.wto.org/imrd/directdoc.asp?DDFDocuments/u/G/SPS/NEU65.DOC</v>
      </c>
      <c r="M1915" s="2" t="str">
        <f>HYPERLINK("https://docs.wto.org/imrd/directdoc.asp?DDFDocuments/v/G/SPS/NEU65.DOC")</f>
        <v>https://docs.wto.org/imrd/directdoc.asp?DDFDocuments/v/G/SPS/NEU65.DOC</v>
      </c>
      <c r="N1915" s="2" t="str">
        <f>HYPERLINK("http://www.epingalert.org/#/details/G/SPS/N/EU/65")</f>
        <v>http://www.epingalert.org/#/details/G/SPS/N/EU/65</v>
      </c>
      <c r="O1915" s="2"/>
    </row>
    <row r="1916" spans="1:15" ht="240" customHeight="1" outlineLevel="1" x14ac:dyDescent="0.25">
      <c r="A1916" s="2" t="s">
        <v>25</v>
      </c>
      <c r="B1916" s="2" t="s">
        <v>6470</v>
      </c>
      <c r="C1916" s="2" t="s">
        <v>5962</v>
      </c>
      <c r="D1916" s="2" t="s">
        <v>6471</v>
      </c>
      <c r="E1916" s="3">
        <v>41649</v>
      </c>
      <c r="F1916" s="2" t="s">
        <v>6472</v>
      </c>
      <c r="G1916" s="2"/>
      <c r="H1916" s="2" t="s">
        <v>2425</v>
      </c>
      <c r="I1916" s="2" t="s">
        <v>2558</v>
      </c>
      <c r="J1916" s="3">
        <v>41709</v>
      </c>
      <c r="K1916" s="2" t="str">
        <f>HYPERLINK("https://docs.wto.org/imrd/directdoc.asp?DDFDocuments/t/G/SPS/NKOR467.DOC")</f>
        <v>https://docs.wto.org/imrd/directdoc.asp?DDFDocuments/t/G/SPS/NKOR467.DOC</v>
      </c>
      <c r="L1916" s="2" t="str">
        <f>HYPERLINK("https://docs.wto.org/imrd/directdoc.asp?DDFDocuments/u/G/SPS/NKOR467.DOC")</f>
        <v>https://docs.wto.org/imrd/directdoc.asp?DDFDocuments/u/G/SPS/NKOR467.DOC</v>
      </c>
      <c r="M1916" s="2" t="str">
        <f>HYPERLINK("https://docs.wto.org/imrd/directdoc.asp?DDFDocuments/v/G/SPS/NKOR467.DOC")</f>
        <v>https://docs.wto.org/imrd/directdoc.asp?DDFDocuments/v/G/SPS/NKOR467.DOC</v>
      </c>
      <c r="N1916" s="2" t="str">
        <f>HYPERLINK("http://www.epingalert.org/#/details/G/SPS/N/KOR/467")</f>
        <v>http://www.epingalert.org/#/details/G/SPS/N/KOR/467</v>
      </c>
      <c r="O1916" s="2"/>
    </row>
    <row r="1917" spans="1:15" ht="240" customHeight="1" outlineLevel="1" x14ac:dyDescent="0.25">
      <c r="A1917" s="2" t="s">
        <v>77</v>
      </c>
      <c r="B1917" s="2" t="s">
        <v>8856</v>
      </c>
      <c r="C1917" s="2" t="s">
        <v>7360</v>
      </c>
      <c r="D1917" s="2" t="s">
        <v>8857</v>
      </c>
      <c r="E1917" s="3">
        <v>41649</v>
      </c>
      <c r="F1917" s="2" t="s">
        <v>8572</v>
      </c>
      <c r="G1917" s="2" t="s">
        <v>6736</v>
      </c>
      <c r="H1917" s="2" t="s">
        <v>2425</v>
      </c>
      <c r="I1917" s="2" t="s">
        <v>2499</v>
      </c>
      <c r="J1917" s="3">
        <v>41709</v>
      </c>
      <c r="K1917" s="2" t="str">
        <f>HYPERLINK("https://docs.wto.org/imrd/directdoc.asp?DDFDocuments/t/G/SPS/NTPKM303.DOC")</f>
        <v>https://docs.wto.org/imrd/directdoc.asp?DDFDocuments/t/G/SPS/NTPKM303.DOC</v>
      </c>
      <c r="L1917" s="2" t="str">
        <f>HYPERLINK("https://docs.wto.org/imrd/directdoc.asp?DDFDocuments/u/G/SPS/NTPKM303.DOC")</f>
        <v>https://docs.wto.org/imrd/directdoc.asp?DDFDocuments/u/G/SPS/NTPKM303.DOC</v>
      </c>
      <c r="M1917" s="2" t="str">
        <f>HYPERLINK("https://docs.wto.org/imrd/directdoc.asp?DDFDocuments/v/G/SPS/NTPKM303.DOC")</f>
        <v>https://docs.wto.org/imrd/directdoc.asp?DDFDocuments/v/G/SPS/NTPKM303.DOC</v>
      </c>
      <c r="N1917" s="2" t="str">
        <f>HYPERLINK("http://www.epingalert.org/#/details/G/SPS/N/TPKM/303")</f>
        <v>http://www.epingalert.org/#/details/G/SPS/N/TPKM/303</v>
      </c>
      <c r="O1917" s="2"/>
    </row>
    <row r="1918" spans="1:15" ht="240" customHeight="1" outlineLevel="1" x14ac:dyDescent="0.25">
      <c r="A1918" s="2" t="s">
        <v>25</v>
      </c>
      <c r="B1918" s="2" t="s">
        <v>6473</v>
      </c>
      <c r="C1918" s="2" t="s">
        <v>6474</v>
      </c>
      <c r="D1918" s="2" t="s">
        <v>6475</v>
      </c>
      <c r="E1918" s="3">
        <v>41647</v>
      </c>
      <c r="F1918" s="2" t="s">
        <v>4506</v>
      </c>
      <c r="G1918" s="2"/>
      <c r="H1918" s="2" t="s">
        <v>2425</v>
      </c>
      <c r="I1918" s="2" t="s">
        <v>2903</v>
      </c>
      <c r="J1918" s="3">
        <v>41707</v>
      </c>
      <c r="K1918" s="2" t="str">
        <f>HYPERLINK("https://docs.wto.org/imrd/directdoc.asp?DDFDocuments/t/G/SPS/NKOR466.DOC")</f>
        <v>https://docs.wto.org/imrd/directdoc.asp?DDFDocuments/t/G/SPS/NKOR466.DOC</v>
      </c>
      <c r="L1918" s="2" t="str">
        <f>HYPERLINK("https://docs.wto.org/imrd/directdoc.asp?DDFDocuments/u/G/SPS/NKOR466.DOC")</f>
        <v>https://docs.wto.org/imrd/directdoc.asp?DDFDocuments/u/G/SPS/NKOR466.DOC</v>
      </c>
      <c r="M1918" s="2" t="str">
        <f>HYPERLINK("https://docs.wto.org/imrd/directdoc.asp?DDFDocuments/v/G/SPS/NKOR466.DOC")</f>
        <v>https://docs.wto.org/imrd/directdoc.asp?DDFDocuments/v/G/SPS/NKOR466.DOC</v>
      </c>
      <c r="N1918" s="2" t="str">
        <f>HYPERLINK("http://www.epingalert.org/#/details/G/SPS/N/KOR/466")</f>
        <v>http://www.epingalert.org/#/details/G/SPS/N/KOR/466</v>
      </c>
      <c r="O1918" s="2"/>
    </row>
    <row r="1919" spans="1:15" ht="240" customHeight="1" outlineLevel="1" x14ac:dyDescent="0.25">
      <c r="A1919" s="2" t="s">
        <v>25</v>
      </c>
      <c r="B1919" s="2" t="s">
        <v>6476</v>
      </c>
      <c r="C1919" s="2" t="s">
        <v>6477</v>
      </c>
      <c r="D1919" s="2" t="s">
        <v>6478</v>
      </c>
      <c r="E1919" s="3">
        <v>41647</v>
      </c>
      <c r="F1919" s="2" t="s">
        <v>4506</v>
      </c>
      <c r="G1919" s="2"/>
      <c r="H1919" s="2" t="s">
        <v>2425</v>
      </c>
      <c r="I1919" s="2" t="s">
        <v>2903</v>
      </c>
      <c r="J1919" s="3">
        <v>41707</v>
      </c>
      <c r="K1919" s="2" t="str">
        <f>HYPERLINK("https://docs.wto.org/imrd/directdoc.asp?DDFDocuments/t/G/SPS/NKOR465.DOC")</f>
        <v>https://docs.wto.org/imrd/directdoc.asp?DDFDocuments/t/G/SPS/NKOR465.DOC</v>
      </c>
      <c r="L1919" s="2" t="str">
        <f>HYPERLINK("https://docs.wto.org/imrd/directdoc.asp?DDFDocuments/u/G/SPS/NKOR465.DOC")</f>
        <v>https://docs.wto.org/imrd/directdoc.asp?DDFDocuments/u/G/SPS/NKOR465.DOC</v>
      </c>
      <c r="M1919" s="2" t="str">
        <f>HYPERLINK("https://docs.wto.org/imrd/directdoc.asp?DDFDocuments/v/G/SPS/NKOR465.DOC")</f>
        <v>https://docs.wto.org/imrd/directdoc.asp?DDFDocuments/v/G/SPS/NKOR465.DOC</v>
      </c>
      <c r="N1919" s="2" t="str">
        <f>HYPERLINK("http://www.epingalert.org/#/details/G/SPS/N/KOR/465")</f>
        <v>http://www.epingalert.org/#/details/G/SPS/N/KOR/465</v>
      </c>
      <c r="O1919" s="2"/>
    </row>
    <row r="1920" spans="1:15" ht="240" customHeight="1" outlineLevel="1" x14ac:dyDescent="0.25">
      <c r="A1920" s="2" t="s">
        <v>42</v>
      </c>
      <c r="B1920" s="2" t="s">
        <v>8858</v>
      </c>
      <c r="C1920" s="2"/>
      <c r="D1920" s="2"/>
      <c r="E1920" s="3">
        <v>41647</v>
      </c>
      <c r="F1920" s="2"/>
      <c r="G1920" s="2" t="s">
        <v>8859</v>
      </c>
      <c r="H1920" s="2"/>
      <c r="I1920" s="2" t="s">
        <v>2444</v>
      </c>
      <c r="J1920" s="2"/>
      <c r="K1920" s="2" t="str">
        <f>HYPERLINK("https://docs.wto.org/imrd/directdoc.asp?DDFDocuments/t/G/SPS/NBRA877A1.DOC")</f>
        <v>https://docs.wto.org/imrd/directdoc.asp?DDFDocuments/t/G/SPS/NBRA877A1.DOC</v>
      </c>
      <c r="L1920" s="2" t="str">
        <f>HYPERLINK("https://docs.wto.org/imrd/directdoc.asp?DDFDocuments/u/G/SPS/NBRA877A1.DOC")</f>
        <v>https://docs.wto.org/imrd/directdoc.asp?DDFDocuments/u/G/SPS/NBRA877A1.DOC</v>
      </c>
      <c r="M1920" s="2" t="str">
        <f>HYPERLINK("https://docs.wto.org/imrd/directdoc.asp?DDFDocuments/v/G/SPS/NBRA877A1.DOC")</f>
        <v>https://docs.wto.org/imrd/directdoc.asp?DDFDocuments/v/G/SPS/NBRA877A1.DOC</v>
      </c>
      <c r="N1920" s="2" t="str">
        <f>HYPERLINK("http://www.epingalert.org/#/details/G/SPS/N/BRA/877/Add.1")</f>
        <v>http://www.epingalert.org/#/details/G/SPS/N/BRA/877/Add.1</v>
      </c>
      <c r="O1920" s="2"/>
    </row>
    <row r="1921" spans="1:15" ht="240" customHeight="1" outlineLevel="1" x14ac:dyDescent="0.25">
      <c r="A1921" s="2" t="s">
        <v>42</v>
      </c>
      <c r="B1921" s="2" t="s">
        <v>8860</v>
      </c>
      <c r="C1921" s="2"/>
      <c r="D1921" s="2"/>
      <c r="E1921" s="3">
        <v>41647</v>
      </c>
      <c r="F1921" s="2"/>
      <c r="G1921" s="2" t="s">
        <v>6799</v>
      </c>
      <c r="H1921" s="2"/>
      <c r="I1921" s="2" t="s">
        <v>2444</v>
      </c>
      <c r="J1921" s="2"/>
      <c r="K1921" s="2" t="str">
        <f>HYPERLINK("https://docs.wto.org/imrd/directdoc.asp?DDFDocuments/t/G/SPS/NBRA483R1A1.DOC")</f>
        <v>https://docs.wto.org/imrd/directdoc.asp?DDFDocuments/t/G/SPS/NBRA483R1A1.DOC</v>
      </c>
      <c r="L1921" s="2" t="str">
        <f>HYPERLINK("https://docs.wto.org/imrd/directdoc.asp?DDFDocuments/u/G/SPS/NBRA483R1A1.DOC")</f>
        <v>https://docs.wto.org/imrd/directdoc.asp?DDFDocuments/u/G/SPS/NBRA483R1A1.DOC</v>
      </c>
      <c r="M1921" s="2" t="str">
        <f>HYPERLINK("https://docs.wto.org/imrd/directdoc.asp?DDFDocuments/v/G/SPS/NBRA483R1A1.DOC")</f>
        <v>https://docs.wto.org/imrd/directdoc.asp?DDFDocuments/v/G/SPS/NBRA483R1A1.DOC</v>
      </c>
      <c r="N1921" s="2" t="str">
        <f>HYPERLINK("http://www.epingalert.org/#/details/G/SPS/N/BRA/483/Rev.1/Add.1")</f>
        <v>http://www.epingalert.org/#/details/G/SPS/N/BRA/483/Rev.1/Add.1</v>
      </c>
      <c r="O1921" s="2"/>
    </row>
    <row r="1922" spans="1:15" ht="240" customHeight="1" outlineLevel="1" x14ac:dyDescent="0.25">
      <c r="A1922" s="2" t="s">
        <v>77</v>
      </c>
      <c r="B1922" s="2" t="s">
        <v>8861</v>
      </c>
      <c r="C1922" s="2"/>
      <c r="D1922" s="2"/>
      <c r="E1922" s="3">
        <v>41647</v>
      </c>
      <c r="F1922" s="2"/>
      <c r="G1922" s="2" t="s">
        <v>6736</v>
      </c>
      <c r="H1922" s="2"/>
      <c r="I1922" s="2" t="s">
        <v>2444</v>
      </c>
      <c r="J1922" s="2"/>
      <c r="K1922" s="2" t="str">
        <f>HYPERLINK("https://docs.wto.org/imrd/directdoc.asp?DDFDocuments/t/G/SPS/NTPKM301A1.DOC")</f>
        <v>https://docs.wto.org/imrd/directdoc.asp?DDFDocuments/t/G/SPS/NTPKM301A1.DOC</v>
      </c>
      <c r="L1922" s="2" t="str">
        <f>HYPERLINK("https://docs.wto.org/imrd/directdoc.asp?DDFDocuments/u/G/SPS/NTPKM301A1.DOC")</f>
        <v>https://docs.wto.org/imrd/directdoc.asp?DDFDocuments/u/G/SPS/NTPKM301A1.DOC</v>
      </c>
      <c r="M1922" s="2" t="str">
        <f>HYPERLINK("https://docs.wto.org/imrd/directdoc.asp?DDFDocuments/v/G/SPS/NTPKM301A1.DOC")</f>
        <v>https://docs.wto.org/imrd/directdoc.asp?DDFDocuments/v/G/SPS/NTPKM301A1.DOC</v>
      </c>
      <c r="N1922" s="2" t="str">
        <f>HYPERLINK("http://www.epingalert.org/#/details/G/SPS/N/TPKM/301/Add.1")</f>
        <v>http://www.epingalert.org/#/details/G/SPS/N/TPKM/301/Add.1</v>
      </c>
      <c r="O1922" s="2"/>
    </row>
    <row r="1923" spans="1:15" ht="240" customHeight="1" outlineLevel="1" x14ac:dyDescent="0.25">
      <c r="A1923" s="2" t="s">
        <v>1042</v>
      </c>
      <c r="B1923" s="2" t="s">
        <v>6483</v>
      </c>
      <c r="C1923" s="2" t="s">
        <v>6484</v>
      </c>
      <c r="D1923" s="2" t="s">
        <v>6485</v>
      </c>
      <c r="E1923" s="3">
        <v>41628</v>
      </c>
      <c r="F1923" s="2" t="s">
        <v>4210</v>
      </c>
      <c r="G1923" s="2" t="s">
        <v>6486</v>
      </c>
      <c r="H1923" s="2" t="s">
        <v>2573</v>
      </c>
      <c r="I1923" s="2" t="s">
        <v>3482</v>
      </c>
      <c r="J1923" s="3">
        <v>41791</v>
      </c>
      <c r="K1923" s="2" t="str">
        <f>HYPERLINK("https://docs.wto.org/imrd/directdoc.asp?DDFDocuments/t/G/SPS/NPHL244.DOC")</f>
        <v>https://docs.wto.org/imrd/directdoc.asp?DDFDocuments/t/G/SPS/NPHL244.DOC</v>
      </c>
      <c r="L1923" s="2" t="str">
        <f>HYPERLINK("https://docs.wto.org/imrd/directdoc.asp?DDFDocuments/u/G/SPS/NPHL244.DOC")</f>
        <v>https://docs.wto.org/imrd/directdoc.asp?DDFDocuments/u/G/SPS/NPHL244.DOC</v>
      </c>
      <c r="M1923" s="2" t="str">
        <f>HYPERLINK("https://docs.wto.org/imrd/directdoc.asp?DDFDocuments/v/G/SPS/NPHL244.DOC")</f>
        <v>https://docs.wto.org/imrd/directdoc.asp?DDFDocuments/v/G/SPS/NPHL244.DOC</v>
      </c>
      <c r="N1923" s="2" t="str">
        <f>HYPERLINK("http://www.epingalert.org/#/details/G/SPS/N/PHL/244")</f>
        <v>http://www.epingalert.org/#/details/G/SPS/N/PHL/244</v>
      </c>
      <c r="O1923" s="2"/>
    </row>
    <row r="1924" spans="1:15" ht="240" customHeight="1" outlineLevel="1" x14ac:dyDescent="0.25">
      <c r="A1924" s="2" t="s">
        <v>211</v>
      </c>
      <c r="B1924" s="2" t="s">
        <v>6479</v>
      </c>
      <c r="C1924" s="2"/>
      <c r="D1924" s="2"/>
      <c r="E1924" s="3">
        <v>41628</v>
      </c>
      <c r="F1924" s="2" t="s">
        <v>4234</v>
      </c>
      <c r="G1924" s="2"/>
      <c r="H1924" s="2" t="s">
        <v>2573</v>
      </c>
      <c r="I1924" s="2" t="s">
        <v>2453</v>
      </c>
      <c r="J1924" s="2"/>
      <c r="K1924" s="2" t="str">
        <f>HYPERLINK("https://docs.wto.org/imrd/directdoc.asp?DDFDocuments/t/G/SPS/NNZL500C1.DOC")</f>
        <v>https://docs.wto.org/imrd/directdoc.asp?DDFDocuments/t/G/SPS/NNZL500C1.DOC</v>
      </c>
      <c r="L1924" s="2" t="str">
        <f>HYPERLINK("null")</f>
        <v>null</v>
      </c>
      <c r="M1924" s="2" t="str">
        <f>HYPERLINK("null")</f>
        <v>null</v>
      </c>
      <c r="N1924" s="2" t="str">
        <f>HYPERLINK("http://www.epingalert.org/#/details/G/SPS/N/NZL/500/Corr.1")</f>
        <v>http://www.epingalert.org/#/details/G/SPS/N/NZL/500/Corr.1</v>
      </c>
      <c r="O1924" s="2"/>
    </row>
    <row r="1925" spans="1:15" ht="240" customHeight="1" outlineLevel="1" x14ac:dyDescent="0.25">
      <c r="A1925" s="2" t="s">
        <v>12</v>
      </c>
      <c r="B1925" s="2" t="s">
        <v>6480</v>
      </c>
      <c r="C1925" s="2" t="s">
        <v>6481</v>
      </c>
      <c r="D1925" s="2" t="s">
        <v>6482</v>
      </c>
      <c r="E1925" s="3">
        <v>41628</v>
      </c>
      <c r="F1925" s="2" t="s">
        <v>3264</v>
      </c>
      <c r="G1925" s="2"/>
      <c r="H1925" s="2" t="s">
        <v>2573</v>
      </c>
      <c r="I1925" s="2" t="s">
        <v>2461</v>
      </c>
      <c r="J1925" s="2"/>
      <c r="K1925" s="2" t="str">
        <f>HYPERLINK("https://docs.wto.org/imrd/directdoc.asp?DDFDocuments/t/G/SPS/NEU64.DOC")</f>
        <v>https://docs.wto.org/imrd/directdoc.asp?DDFDocuments/t/G/SPS/NEU64.DOC</v>
      </c>
      <c r="L1925" s="2" t="str">
        <f>HYPERLINK("https://docs.wto.org/imrd/directdoc.asp?DDFDocuments/u/G/SPS/NEU64.DOC")</f>
        <v>https://docs.wto.org/imrd/directdoc.asp?DDFDocuments/u/G/SPS/NEU64.DOC</v>
      </c>
      <c r="M1925" s="2" t="str">
        <f>HYPERLINK("https://docs.wto.org/imrd/directdoc.asp?DDFDocuments/v/G/SPS/NEU64.DOC")</f>
        <v>https://docs.wto.org/imrd/directdoc.asp?DDFDocuments/v/G/SPS/NEU64.DOC</v>
      </c>
      <c r="N1925" s="2" t="str">
        <f>HYPERLINK("http://www.epingalert.org/#/details/G/SPS/N/EU/64")</f>
        <v>http://www.epingalert.org/#/details/G/SPS/N/EU/64</v>
      </c>
      <c r="O1925" s="2"/>
    </row>
    <row r="1926" spans="1:15" ht="240" customHeight="1" outlineLevel="1" x14ac:dyDescent="0.25">
      <c r="A1926" s="2" t="s">
        <v>1488</v>
      </c>
      <c r="B1926" s="2" t="s">
        <v>8862</v>
      </c>
      <c r="C1926" s="2" t="s">
        <v>8863</v>
      </c>
      <c r="D1926" s="2" t="s">
        <v>8864</v>
      </c>
      <c r="E1926" s="3">
        <v>41627</v>
      </c>
      <c r="F1926" s="2" t="s">
        <v>8865</v>
      </c>
      <c r="G1926" s="2" t="s">
        <v>2923</v>
      </c>
      <c r="H1926" s="2" t="s">
        <v>2573</v>
      </c>
      <c r="I1926" s="2" t="s">
        <v>8866</v>
      </c>
      <c r="J1926" s="3">
        <v>41687</v>
      </c>
      <c r="K1926" s="2" t="str">
        <f>HYPERLINK("https://docs.wto.org/imrd/directdoc.asp?DDFDocuments/t/G/SPS/NMEX247.DOC")</f>
        <v>https://docs.wto.org/imrd/directdoc.asp?DDFDocuments/t/G/SPS/NMEX247.DOC</v>
      </c>
      <c r="L1926" s="2" t="str">
        <f>HYPERLINK("https://docs.wto.org/imrd/directdoc.asp?DDFDocuments/u/G/SPS/NMEX247.DOC")</f>
        <v>https://docs.wto.org/imrd/directdoc.asp?DDFDocuments/u/G/SPS/NMEX247.DOC</v>
      </c>
      <c r="M1926" s="2" t="str">
        <f>HYPERLINK("https://docs.wto.org/imrd/directdoc.asp?DDFDocuments/v/G/SPS/NMEX247.DOC")</f>
        <v>https://docs.wto.org/imrd/directdoc.asp?DDFDocuments/v/G/SPS/NMEX247.DOC</v>
      </c>
      <c r="N1926" s="2" t="str">
        <f>HYPERLINK("http://www.epingalert.org/#/details/G/SPS/N/MEX/247")</f>
        <v>http://www.epingalert.org/#/details/G/SPS/N/MEX/247</v>
      </c>
      <c r="O1926" s="2"/>
    </row>
    <row r="1927" spans="1:15" ht="240" customHeight="1" outlineLevel="1" x14ac:dyDescent="0.25">
      <c r="A1927" s="2" t="s">
        <v>12</v>
      </c>
      <c r="B1927" s="2" t="s">
        <v>6487</v>
      </c>
      <c r="C1927" s="2"/>
      <c r="D1927" s="2"/>
      <c r="E1927" s="3">
        <v>41627</v>
      </c>
      <c r="F1927" s="2" t="s">
        <v>2451</v>
      </c>
      <c r="G1927" s="2" t="s">
        <v>6488</v>
      </c>
      <c r="H1927" s="2"/>
      <c r="I1927" s="2" t="s">
        <v>2453</v>
      </c>
      <c r="J1927" s="2"/>
      <c r="K1927" s="2" t="str">
        <f>HYPERLINK("https://docs.wto.org/imrd/directdoc.asp?DDFDocuments/t/G/SPS/NEU63.DOC")</f>
        <v>https://docs.wto.org/imrd/directdoc.asp?DDFDocuments/t/G/SPS/NEU63.DOC</v>
      </c>
      <c r="L1927" s="2" t="str">
        <f>HYPERLINK("https://docs.wto.org/imrd/directdoc.asp?DDFDocuments/u/G/SPS/NEU63.DOC")</f>
        <v>https://docs.wto.org/imrd/directdoc.asp?DDFDocuments/u/G/SPS/NEU63.DOC</v>
      </c>
      <c r="M1927" s="2" t="str">
        <f>HYPERLINK("https://docs.wto.org/imrd/directdoc.asp?DDFDocuments/v/G/SPS/NEU63.DOC")</f>
        <v>https://docs.wto.org/imrd/directdoc.asp?DDFDocuments/v/G/SPS/NEU63.DOC</v>
      </c>
      <c r="N1927" s="2" t="str">
        <f>HYPERLINK("http://www.epingalert.org/#/details/G/SPS/N/EU/63")</f>
        <v>http://www.epingalert.org/#/details/G/SPS/N/EU/63</v>
      </c>
      <c r="O1927" s="2"/>
    </row>
    <row r="1928" spans="1:15" ht="240" customHeight="1" outlineLevel="1" x14ac:dyDescent="0.25">
      <c r="A1928" s="2" t="s">
        <v>211</v>
      </c>
      <c r="B1928" s="2" t="s">
        <v>6489</v>
      </c>
      <c r="C1928" s="2" t="s">
        <v>6490</v>
      </c>
      <c r="D1928" s="2" t="s">
        <v>6491</v>
      </c>
      <c r="E1928" s="3">
        <v>41624</v>
      </c>
      <c r="F1928" s="2" t="s">
        <v>4234</v>
      </c>
      <c r="G1928" s="2"/>
      <c r="H1928" s="2" t="s">
        <v>2573</v>
      </c>
      <c r="I1928" s="2" t="s">
        <v>2453</v>
      </c>
      <c r="J1928" s="3">
        <v>41682</v>
      </c>
      <c r="K1928" s="2" t="str">
        <f>HYPERLINK("https://docs.wto.org/imrd/directdoc.asp?DDFDocuments/t/G/SPS/NNZL500.DOC")</f>
        <v>https://docs.wto.org/imrd/directdoc.asp?DDFDocuments/t/G/SPS/NNZL500.DOC</v>
      </c>
      <c r="L1928" s="2" t="str">
        <f>HYPERLINK("https://docs.wto.org/imrd/directdoc.asp?DDFDocuments/u/G/SPS/NNZL500.DOC")</f>
        <v>https://docs.wto.org/imrd/directdoc.asp?DDFDocuments/u/G/SPS/NNZL500.DOC</v>
      </c>
      <c r="M1928" s="2" t="str">
        <f>HYPERLINK("https://docs.wto.org/imrd/directdoc.asp?DDFDocuments/v/G/SPS/NNZL500.DOC")</f>
        <v>https://docs.wto.org/imrd/directdoc.asp?DDFDocuments/v/G/SPS/NNZL500.DOC</v>
      </c>
      <c r="N1928" s="2" t="str">
        <f>HYPERLINK("http://www.epingalert.org/#/details/G/SPS/N/NZL/500")</f>
        <v>http://www.epingalert.org/#/details/G/SPS/N/NZL/500</v>
      </c>
      <c r="O1928" s="2"/>
    </row>
    <row r="1929" spans="1:15" ht="240" customHeight="1" outlineLevel="1" x14ac:dyDescent="0.25">
      <c r="A1929" s="2" t="s">
        <v>12</v>
      </c>
      <c r="B1929" s="2" t="s">
        <v>6492</v>
      </c>
      <c r="C1929" s="2" t="s">
        <v>6493</v>
      </c>
      <c r="D1929" s="2" t="s">
        <v>6494</v>
      </c>
      <c r="E1929" s="3">
        <v>41621</v>
      </c>
      <c r="F1929" s="2" t="s">
        <v>2451</v>
      </c>
      <c r="G1929" s="2" t="s">
        <v>6495</v>
      </c>
      <c r="H1929" s="2" t="s">
        <v>2573</v>
      </c>
      <c r="I1929" s="2" t="s">
        <v>2453</v>
      </c>
      <c r="J1929" s="3">
        <v>41681</v>
      </c>
      <c r="K1929" s="2" t="str">
        <f>HYPERLINK("https://docs.wto.org/imrd/directdoc.asp?DDFDocuments/t/G/SPS/NEU61.DOC")</f>
        <v>https://docs.wto.org/imrd/directdoc.asp?DDFDocuments/t/G/SPS/NEU61.DOC</v>
      </c>
      <c r="L1929" s="2" t="str">
        <f>HYPERLINK("https://docs.wto.org/imrd/directdoc.asp?DDFDocuments/u/G/SPS/NEU61.DOC")</f>
        <v>https://docs.wto.org/imrd/directdoc.asp?DDFDocuments/u/G/SPS/NEU61.DOC</v>
      </c>
      <c r="M1929" s="2" t="str">
        <f>HYPERLINK("https://docs.wto.org/imrd/directdoc.asp?DDFDocuments/v/G/SPS/NEU61.DOC")</f>
        <v>https://docs.wto.org/imrd/directdoc.asp?DDFDocuments/v/G/SPS/NEU61.DOC</v>
      </c>
      <c r="N1929" s="2" t="str">
        <f>HYPERLINK("http://www.epingalert.org/#/details/G/SPS/N/EU/61")</f>
        <v>http://www.epingalert.org/#/details/G/SPS/N/EU/61</v>
      </c>
      <c r="O1929" s="2"/>
    </row>
    <row r="1930" spans="1:15" ht="240" customHeight="1" outlineLevel="1" x14ac:dyDescent="0.25">
      <c r="A1930" s="2" t="s">
        <v>158</v>
      </c>
      <c r="B1930" s="2" t="s">
        <v>8867</v>
      </c>
      <c r="C1930" s="2" t="s">
        <v>8868</v>
      </c>
      <c r="D1930" s="2" t="s">
        <v>8869</v>
      </c>
      <c r="E1930" s="3">
        <v>41621</v>
      </c>
      <c r="F1930" s="2" t="s">
        <v>8870</v>
      </c>
      <c r="G1930" s="2" t="s">
        <v>8428</v>
      </c>
      <c r="H1930" s="2" t="s">
        <v>2467</v>
      </c>
      <c r="I1930" s="2" t="s">
        <v>2467</v>
      </c>
      <c r="J1930" s="2"/>
      <c r="K1930" s="2" t="str">
        <f>HYPERLINK("https://docs.wto.org/imrd/directdoc.asp?DDFDocuments/t/G/SPS/NCRI144.DOC")</f>
        <v>https://docs.wto.org/imrd/directdoc.asp?DDFDocuments/t/G/SPS/NCRI144.DOC</v>
      </c>
      <c r="L1930" s="2" t="str">
        <f>HYPERLINK("https://docs.wto.org/imrd/directdoc.asp?DDFDocuments/u/G/SPS/NCRI144.DOC")</f>
        <v>https://docs.wto.org/imrd/directdoc.asp?DDFDocuments/u/G/SPS/NCRI144.DOC</v>
      </c>
      <c r="M1930" s="2" t="str">
        <f>HYPERLINK("https://docs.wto.org/imrd/directdoc.asp?DDFDocuments/v/G/SPS/NCRI144.DOC")</f>
        <v>https://docs.wto.org/imrd/directdoc.asp?DDFDocuments/v/G/SPS/NCRI144.DOC</v>
      </c>
      <c r="N1930" s="2" t="str">
        <f>HYPERLINK("http://www.epingalert.org/#/details/G/SPS/N/CRI/144")</f>
        <v>http://www.epingalert.org/#/details/G/SPS/N/CRI/144</v>
      </c>
      <c r="O1930" s="2"/>
    </row>
    <row r="1931" spans="1:15" ht="240" customHeight="1" outlineLevel="1" x14ac:dyDescent="0.25">
      <c r="A1931" s="2" t="s">
        <v>1908</v>
      </c>
      <c r="B1931" s="2" t="s">
        <v>6496</v>
      </c>
      <c r="C1931" s="2"/>
      <c r="D1931" s="2"/>
      <c r="E1931" s="3">
        <v>41620</v>
      </c>
      <c r="F1931" s="2" t="s">
        <v>6497</v>
      </c>
      <c r="G1931" s="2"/>
      <c r="H1931" s="2" t="s">
        <v>2573</v>
      </c>
      <c r="I1931" s="2" t="s">
        <v>2444</v>
      </c>
      <c r="J1931" s="2"/>
      <c r="K1931" s="2" t="str">
        <f>HYPERLINK("https://docs.wto.org/imrd/directdoc.asp?DDFDocuments/t/G/SPS/NCAN701A1.DOC")</f>
        <v>https://docs.wto.org/imrd/directdoc.asp?DDFDocuments/t/G/SPS/NCAN701A1.DOC</v>
      </c>
      <c r="L1931" s="2" t="str">
        <f>HYPERLINK("https://docs.wto.org/imrd/directdoc.asp?DDFDocuments/u/G/SPS/NCAN701A1.DOC")</f>
        <v>https://docs.wto.org/imrd/directdoc.asp?DDFDocuments/u/G/SPS/NCAN701A1.DOC</v>
      </c>
      <c r="M1931" s="2" t="str">
        <f>HYPERLINK("https://docs.wto.org/imrd/directdoc.asp?DDFDocuments/v/G/SPS/NCAN701A1.DOC")</f>
        <v>https://docs.wto.org/imrd/directdoc.asp?DDFDocuments/v/G/SPS/NCAN701A1.DOC</v>
      </c>
      <c r="N1931" s="2" t="str">
        <f>HYPERLINK("http://www.epingalert.org/#/details/G/SPS/N/CAN/701/Add.1")</f>
        <v>http://www.epingalert.org/#/details/G/SPS/N/CAN/701/Add.1</v>
      </c>
      <c r="O1931" s="2"/>
    </row>
    <row r="1932" spans="1:15" ht="240" customHeight="1" outlineLevel="1" x14ac:dyDescent="0.25">
      <c r="A1932" s="24"/>
      <c r="B1932" s="24"/>
      <c r="C1932" s="24"/>
      <c r="D1932" s="24"/>
      <c r="E1932" s="24"/>
      <c r="F1932" s="24"/>
      <c r="G1932" s="24"/>
      <c r="H1932" s="24"/>
      <c r="I1932" s="24"/>
      <c r="J1932" s="24"/>
      <c r="K1932" s="24"/>
      <c r="L1932" s="24"/>
      <c r="M1932" s="24"/>
      <c r="N1932" s="24"/>
      <c r="O1932" s="24"/>
    </row>
    <row r="1933" spans="1:15" ht="240" customHeight="1" outlineLevel="1" x14ac:dyDescent="0.25">
      <c r="A1933" s="24"/>
      <c r="B1933" s="24"/>
      <c r="C1933" s="24"/>
      <c r="D1933" s="24"/>
      <c r="E1933" s="24"/>
      <c r="F1933" s="24"/>
      <c r="G1933" s="24"/>
      <c r="H1933" s="24"/>
      <c r="I1933" s="24"/>
      <c r="J1933" s="24"/>
      <c r="K1933" s="24"/>
      <c r="L1933" s="24"/>
      <c r="M1933" s="24"/>
      <c r="N1933" s="24"/>
      <c r="O1933" s="24"/>
    </row>
    <row r="1934" spans="1:15" ht="240" customHeight="1" outlineLevel="1" x14ac:dyDescent="0.25">
      <c r="A1934" s="24"/>
      <c r="B1934" s="24"/>
      <c r="C1934" s="24"/>
      <c r="D1934" s="24"/>
      <c r="E1934" s="24"/>
      <c r="F1934" s="24"/>
      <c r="G1934" s="24"/>
      <c r="H1934" s="24"/>
      <c r="I1934" s="24"/>
      <c r="J1934" s="24"/>
      <c r="K1934" s="24"/>
      <c r="L1934" s="24"/>
      <c r="M1934" s="24"/>
      <c r="N1934" s="24"/>
      <c r="O1934" s="24"/>
    </row>
    <row r="1935" spans="1:15" ht="240" customHeight="1" outlineLevel="1" x14ac:dyDescent="0.25">
      <c r="A1935" s="24"/>
      <c r="B1935" s="24"/>
      <c r="C1935" s="24"/>
      <c r="D1935" s="24"/>
      <c r="E1935" s="24"/>
      <c r="F1935" s="24"/>
      <c r="G1935" s="24"/>
      <c r="H1935" s="24"/>
      <c r="I1935" s="24"/>
      <c r="J1935" s="24"/>
      <c r="K1935" s="24"/>
      <c r="L1935" s="24"/>
      <c r="M1935" s="24"/>
      <c r="N1935" s="24"/>
      <c r="O1935" s="24"/>
    </row>
    <row r="1936" spans="1:15" ht="240" customHeight="1" outlineLevel="1" x14ac:dyDescent="0.25">
      <c r="A1936" s="24"/>
      <c r="B1936" s="24"/>
      <c r="C1936" s="24"/>
      <c r="D1936" s="24"/>
      <c r="E1936" s="24"/>
      <c r="F1936" s="24"/>
      <c r="G1936" s="24"/>
      <c r="H1936" s="24"/>
      <c r="I1936" s="24"/>
      <c r="J1936" s="24"/>
      <c r="K1936" s="24"/>
      <c r="L1936" s="24"/>
      <c r="M1936" s="24"/>
      <c r="N1936" s="24"/>
      <c r="O1936" s="24"/>
    </row>
    <row r="1937" spans="1:15" ht="240" customHeight="1" outlineLevel="1" x14ac:dyDescent="0.25">
      <c r="A1937" s="24"/>
      <c r="B1937" s="24"/>
      <c r="C1937" s="24"/>
      <c r="D1937" s="24"/>
      <c r="E1937" s="24"/>
      <c r="F1937" s="24"/>
      <c r="G1937" s="24"/>
      <c r="H1937" s="24"/>
      <c r="I1937" s="24"/>
      <c r="J1937" s="24"/>
      <c r="K1937" s="24"/>
      <c r="L1937" s="24"/>
      <c r="M1937" s="24"/>
      <c r="N1937" s="24"/>
      <c r="O1937" s="24"/>
    </row>
    <row r="1938" spans="1:15" ht="240" customHeight="1" outlineLevel="1" x14ac:dyDescent="0.25">
      <c r="A1938" s="24"/>
      <c r="B1938" s="24"/>
      <c r="C1938" s="24"/>
      <c r="D1938" s="24"/>
      <c r="E1938" s="24"/>
      <c r="F1938" s="24"/>
      <c r="G1938" s="24"/>
      <c r="H1938" s="24"/>
      <c r="I1938" s="24"/>
      <c r="J1938" s="24"/>
      <c r="K1938" s="24"/>
      <c r="L1938" s="24"/>
      <c r="M1938" s="24"/>
      <c r="N1938" s="24"/>
      <c r="O1938" s="24"/>
    </row>
    <row r="1939" spans="1:15" collapsed="1" x14ac:dyDescent="0.25"/>
  </sheetData>
  <autoFilter ref="A6:O1938">
    <sortState ref="A7:O1901">
      <sortCondition descending="1" ref="E6:E1901"/>
    </sortState>
  </autoFilter>
  <conditionalFormatting sqref="F101:F1048576 F2:F6 F80:F89 F47:F48 F45">
    <cfRule type="cellIs" dxfId="161" priority="254" stopIfTrue="1" operator="equal">
      <formula>"Food and food ingredients"</formula>
    </cfRule>
    <cfRule type="cellIs" dxfId="160" priority="255" stopIfTrue="1" operator="equal">
      <formula>"Food additives"</formula>
    </cfRule>
    <cfRule type="cellIs" dxfId="159" priority="256" stopIfTrue="1" operator="equal">
      <formula>"Foodstuff"</formula>
    </cfRule>
    <cfRule type="cellIs" dxfId="158" priority="257" stopIfTrue="1" operator="equal">
      <formula>"Food products"</formula>
    </cfRule>
    <cfRule type="cellIs" dxfId="157" priority="258" stopIfTrue="1" operator="equal">
      <formula>"Food in general"</formula>
    </cfRule>
    <cfRule type="cellIs" dxfId="156" priority="259" stopIfTrue="1" operator="equal">
      <formula>"Foods in general"</formula>
    </cfRule>
    <cfRule type="cellIs" dxfId="155" priority="260" stopIfTrue="1" operator="equal">
      <formula>$F$152</formula>
    </cfRule>
    <cfRule type="cellIs" dxfId="154" priority="261" stopIfTrue="1" operator="equal">
      <formula>$F$151</formula>
    </cfRule>
    <cfRule type="cellIs" dxfId="153" priority="262" stopIfTrue="1" operator="equal">
      <formula>$F$150</formula>
    </cfRule>
    <cfRule type="cellIs" dxfId="152" priority="263" stopIfTrue="1" operator="equal">
      <formula>$F$149</formula>
    </cfRule>
    <cfRule type="cellIs" dxfId="151" priority="264" stopIfTrue="1" operator="equal">
      <formula>$F$137</formula>
    </cfRule>
    <cfRule type="cellIs" dxfId="150" priority="265" stopIfTrue="1" operator="equal">
      <formula>$F$138</formula>
    </cfRule>
    <cfRule type="cellIs" dxfId="149" priority="266" stopIfTrue="1" operator="equal">
      <formula>$F$124</formula>
    </cfRule>
    <cfRule type="cellIs" dxfId="148" priority="267" stopIfTrue="1" operator="equal">
      <formula>$F$112</formula>
    </cfRule>
    <cfRule type="cellIs" dxfId="147" priority="268" stopIfTrue="1" operator="equal">
      <formula>$F$106</formula>
    </cfRule>
    <cfRule type="cellIs" dxfId="146" priority="269" stopIfTrue="1" operator="equal">
      <formula>"Food products in general"</formula>
    </cfRule>
    <cfRule type="cellIs" dxfId="145" priority="270" stopIfTrue="1" operator="equal">
      <formula>"food or"</formula>
    </cfRule>
    <cfRule type="cellIs" dxfId="144" priority="271" stopIfTrue="1" operator="equal">
      <formula>"foods"</formula>
    </cfRule>
    <cfRule type="cellIs" dxfId="143" priority="272" stopIfTrue="1" operator="equal">
      <formula>"food in general"</formula>
    </cfRule>
  </conditionalFormatting>
  <conditionalFormatting sqref="F92">
    <cfRule type="cellIs" dxfId="142" priority="203" stopIfTrue="1" operator="equal">
      <formula>"Food and food ingredients"</formula>
    </cfRule>
    <cfRule type="cellIs" dxfId="141" priority="204" stopIfTrue="1" operator="equal">
      <formula>"Food additives"</formula>
    </cfRule>
    <cfRule type="cellIs" dxfId="140" priority="205" stopIfTrue="1" operator="equal">
      <formula>"Foodstuff"</formula>
    </cfRule>
    <cfRule type="cellIs" dxfId="139" priority="206" stopIfTrue="1" operator="equal">
      <formula>"Food products"</formula>
    </cfRule>
    <cfRule type="cellIs" dxfId="138" priority="207" stopIfTrue="1" operator="equal">
      <formula>"Food in general"</formula>
    </cfRule>
    <cfRule type="cellIs" dxfId="137" priority="208" stopIfTrue="1" operator="equal">
      <formula>"Foods in general"</formula>
    </cfRule>
    <cfRule type="cellIs" dxfId="136" priority="209" stopIfTrue="1" operator="equal">
      <formula>$F$152</formula>
    </cfRule>
    <cfRule type="cellIs" dxfId="135" priority="210" stopIfTrue="1" operator="equal">
      <formula>$F$151</formula>
    </cfRule>
    <cfRule type="cellIs" dxfId="134" priority="211" stopIfTrue="1" operator="equal">
      <formula>$F$150</formula>
    </cfRule>
    <cfRule type="cellIs" dxfId="133" priority="212" stopIfTrue="1" operator="equal">
      <formula>$F$149</formula>
    </cfRule>
    <cfRule type="cellIs" dxfId="132" priority="213" stopIfTrue="1" operator="equal">
      <formula>$F$137</formula>
    </cfRule>
    <cfRule type="cellIs" dxfId="131" priority="214" stopIfTrue="1" operator="equal">
      <formula>$F$138</formula>
    </cfRule>
    <cfRule type="cellIs" dxfId="130" priority="215" stopIfTrue="1" operator="equal">
      <formula>$F$124</formula>
    </cfRule>
    <cfRule type="cellIs" dxfId="129" priority="216" stopIfTrue="1" operator="equal">
      <formula>$F$112</formula>
    </cfRule>
    <cfRule type="cellIs" dxfId="128" priority="217" stopIfTrue="1" operator="equal">
      <formula>$F$106</formula>
    </cfRule>
    <cfRule type="cellIs" dxfId="127" priority="218" stopIfTrue="1" operator="equal">
      <formula>"Food products in general"</formula>
    </cfRule>
    <cfRule type="cellIs" dxfId="126" priority="219" stopIfTrue="1" operator="equal">
      <formula>"food or"</formula>
    </cfRule>
    <cfRule type="cellIs" dxfId="125" priority="220" stopIfTrue="1" operator="equal">
      <formula>"foods"</formula>
    </cfRule>
    <cfRule type="cellIs" dxfId="124" priority="221" stopIfTrue="1" operator="equal">
      <formula>"food in general"</formula>
    </cfRule>
  </conditionalFormatting>
  <conditionalFormatting sqref="F45:F47">
    <cfRule type="cellIs" dxfId="123" priority="172" stopIfTrue="1" operator="equal">
      <formula>"Food and food ingredients"</formula>
    </cfRule>
    <cfRule type="cellIs" dxfId="122" priority="173" stopIfTrue="1" operator="equal">
      <formula>"Food additives"</formula>
    </cfRule>
    <cfRule type="cellIs" dxfId="121" priority="174" stopIfTrue="1" operator="equal">
      <formula>"Foodstuff"</formula>
    </cfRule>
    <cfRule type="cellIs" dxfId="120" priority="175" stopIfTrue="1" operator="equal">
      <formula>"Food products"</formula>
    </cfRule>
    <cfRule type="cellIs" dxfId="119" priority="176" stopIfTrue="1" operator="equal">
      <formula>"Food in general"</formula>
    </cfRule>
    <cfRule type="cellIs" dxfId="118" priority="177" stopIfTrue="1" operator="equal">
      <formula>"Foods in general"</formula>
    </cfRule>
    <cfRule type="cellIs" dxfId="117" priority="178" stopIfTrue="1" operator="equal">
      <formula>$F$152</formula>
    </cfRule>
    <cfRule type="cellIs" dxfId="116" priority="179" stopIfTrue="1" operator="equal">
      <formula>$F$151</formula>
    </cfRule>
    <cfRule type="cellIs" dxfId="115" priority="180" stopIfTrue="1" operator="equal">
      <formula>$F$150</formula>
    </cfRule>
    <cfRule type="cellIs" dxfId="114" priority="181" stopIfTrue="1" operator="equal">
      <formula>$F$149</formula>
    </cfRule>
    <cfRule type="cellIs" dxfId="113" priority="182" stopIfTrue="1" operator="equal">
      <formula>$F$137</formula>
    </cfRule>
    <cfRule type="cellIs" dxfId="112" priority="183" stopIfTrue="1" operator="equal">
      <formula>$F$138</formula>
    </cfRule>
    <cfRule type="cellIs" dxfId="111" priority="184" stopIfTrue="1" operator="equal">
      <formula>$F$124</formula>
    </cfRule>
    <cfRule type="cellIs" dxfId="110" priority="185" stopIfTrue="1" operator="equal">
      <formula>$F$112</formula>
    </cfRule>
    <cfRule type="cellIs" dxfId="109" priority="186" stopIfTrue="1" operator="equal">
      <formula>$F$106</formula>
    </cfRule>
    <cfRule type="cellIs" dxfId="108" priority="187" stopIfTrue="1" operator="equal">
      <formula>"Food products in general"</formula>
    </cfRule>
    <cfRule type="cellIs" dxfId="107" priority="188" stopIfTrue="1" operator="equal">
      <formula>"food or"</formula>
    </cfRule>
    <cfRule type="cellIs" dxfId="106" priority="189" stopIfTrue="1" operator="equal">
      <formula>"foods"</formula>
    </cfRule>
    <cfRule type="cellIs" dxfId="105" priority="190" stopIfTrue="1" operator="equal">
      <formula>"food in general"</formula>
    </cfRule>
  </conditionalFormatting>
  <conditionalFormatting sqref="F43">
    <cfRule type="cellIs" dxfId="104" priority="143" stopIfTrue="1" operator="equal">
      <formula>"All foods (ICS: 67)      "</formula>
    </cfRule>
    <cfRule type="cellIs" dxfId="103" priority="144" stopIfTrue="1" operator="equal">
      <formula>"All foods (ICS: 67)     "</formula>
    </cfRule>
    <cfRule type="cellIs" dxfId="102" priority="145" stopIfTrue="1" operator="equal">
      <formula>"All food (ICS: 67)   "</formula>
    </cfRule>
    <cfRule type="cellIs" dxfId="101" priority="146" stopIfTrue="1" operator="equal">
      <formula>"All food(ICS:67)"</formula>
    </cfRule>
    <cfRule type="cellIs" dxfId="100" priority="147" stopIfTrue="1" operator="equal">
      <formula>"food products"</formula>
    </cfRule>
    <cfRule type="cellIs" dxfId="99" priority="148" stopIfTrue="1" operator="equal">
      <formula>"Food in General  (ICS:67.040) "</formula>
    </cfRule>
    <cfRule type="cellIs" dxfId="98" priority="149" stopIfTrue="1" operator="equal">
      <formula>"Food in General (ICS:67.040)    "</formula>
    </cfRule>
    <cfRule type="cellIs" dxfId="97" priority="150" stopIfTrue="1" operator="equal">
      <formula>"Prepackaged Food Products"</formula>
    </cfRule>
    <cfRule type="cellIs" dxfId="96" priority="151" stopIfTrue="1" operator="equal">
      <formula>"Novel Foods "</formula>
    </cfRule>
    <cfRule type="cellIs" dxfId="95" priority="152" stopIfTrue="1" operator="equal">
      <formula>"Food Additives"</formula>
    </cfRule>
    <cfRule type="cellIs" dxfId="94" priority="153" stopIfTrue="1" operator="equal">
      <formula>"Foods Chain"</formula>
    </cfRule>
    <cfRule type="cellIs" dxfId="93" priority="154" stopIfTrue="1" operator="equal">
      <formula>"Food Additives    "</formula>
    </cfRule>
    <cfRule type="cellIs" dxfId="92" priority="155" stopIfTrue="1" operator="equal">
      <formula>"Food  Labelling"</formula>
    </cfRule>
    <cfRule type="cellIs" dxfId="91" priority="156" stopIfTrue="1" operator="equal">
      <formula>"Food Labelling "</formula>
    </cfRule>
    <cfRule type="cellIs" dxfId="90" priority="157" stopIfTrue="1" operator="equal">
      <formula>"Halal Foods "</formula>
    </cfRule>
    <cfRule type="cellIs" dxfId="89" priority="158" stopIfTrue="1" operator="equal">
      <formula>"Food "</formula>
    </cfRule>
    <cfRule type="cellIs" dxfId="88" priority="159" stopIfTrue="1" operator="equal">
      <formula>"Food for human consumption ."</formula>
    </cfRule>
    <cfRule type="cellIs" dxfId="87" priority="160" stopIfTrue="1" operator="equal">
      <formula>"Food flavourings and food ingredients with flavouring properties"</formula>
    </cfRule>
    <cfRule type="cellIs" dxfId="86" priority="161" stopIfTrue="1" operator="equal">
      <formula>"Food for human consumption"</formula>
    </cfRule>
    <cfRule type="cellIs" dxfId="85" priority="162" stopIfTrue="1" operator="equal">
      <formula>"Specifications for food additives"</formula>
    </cfRule>
    <cfRule type="cellIs" dxfId="84" priority="163" stopIfTrue="1" operator="equal">
      <formula>"Food"</formula>
    </cfRule>
    <cfRule type="cellIs" dxfId="83" priority="164" stopIfTrue="1" operator="equal">
      <formula>"Foodstuffs"</formula>
    </cfRule>
    <cfRule type="cellIs" dxfId="82" priority="165" stopIfTrue="1" operator="equal">
      <formula>" Food"</formula>
    </cfRule>
    <cfRule type="cellIs" dxfId="81" priority="166" stopIfTrue="1" operator="equal">
      <formula>"Food labeling"</formula>
    </cfRule>
    <cfRule type="cellIs" dxfId="80" priority="167" stopIfTrue="1" operator="equal">
      <formula>"Food"</formula>
    </cfRule>
  </conditionalFormatting>
  <conditionalFormatting sqref="F40:F42">
    <cfRule type="cellIs" dxfId="79" priority="117" stopIfTrue="1" operator="equal">
      <formula>"All foods (ICS: 67)      "</formula>
    </cfRule>
    <cfRule type="cellIs" dxfId="78" priority="118" stopIfTrue="1" operator="equal">
      <formula>"All foods (ICS: 67)     "</formula>
    </cfRule>
    <cfRule type="cellIs" dxfId="77" priority="119" stopIfTrue="1" operator="equal">
      <formula>"All food (ICS: 67)   "</formula>
    </cfRule>
    <cfRule type="cellIs" dxfId="76" priority="120" stopIfTrue="1" operator="equal">
      <formula>"All food(ICS:67)"</formula>
    </cfRule>
    <cfRule type="cellIs" dxfId="75" priority="121" stopIfTrue="1" operator="equal">
      <formula>"food products"</formula>
    </cfRule>
    <cfRule type="cellIs" dxfId="74" priority="122" stopIfTrue="1" operator="equal">
      <formula>"Food in General  (ICS:67.040) "</formula>
    </cfRule>
    <cfRule type="cellIs" dxfId="73" priority="123" stopIfTrue="1" operator="equal">
      <formula>"Food in General (ICS:67.040)    "</formula>
    </cfRule>
    <cfRule type="cellIs" dxfId="72" priority="124" stopIfTrue="1" operator="equal">
      <formula>"Prepackaged Food Products"</formula>
    </cfRule>
    <cfRule type="cellIs" dxfId="71" priority="125" stopIfTrue="1" operator="equal">
      <formula>"Novel Foods "</formula>
    </cfRule>
    <cfRule type="cellIs" dxfId="70" priority="126" stopIfTrue="1" operator="equal">
      <formula>"Food Additives"</formula>
    </cfRule>
    <cfRule type="cellIs" dxfId="69" priority="127" stopIfTrue="1" operator="equal">
      <formula>"Foods Chain"</formula>
    </cfRule>
    <cfRule type="cellIs" dxfId="68" priority="128" stopIfTrue="1" operator="equal">
      <formula>"Food Additives    "</formula>
    </cfRule>
    <cfRule type="cellIs" dxfId="67" priority="129" stopIfTrue="1" operator="equal">
      <formula>"Food  Labelling"</formula>
    </cfRule>
    <cfRule type="cellIs" dxfId="66" priority="130" stopIfTrue="1" operator="equal">
      <formula>"Food Labelling "</formula>
    </cfRule>
    <cfRule type="cellIs" dxfId="65" priority="131" stopIfTrue="1" operator="equal">
      <formula>"Halal Foods "</formula>
    </cfRule>
    <cfRule type="cellIs" dxfId="64" priority="132" stopIfTrue="1" operator="equal">
      <formula>"Food "</formula>
    </cfRule>
    <cfRule type="cellIs" dxfId="63" priority="133" stopIfTrue="1" operator="equal">
      <formula>"Food for human consumption ."</formula>
    </cfRule>
    <cfRule type="cellIs" dxfId="62" priority="134" stopIfTrue="1" operator="equal">
      <formula>"Food flavourings and food ingredients with flavouring properties"</formula>
    </cfRule>
    <cfRule type="cellIs" dxfId="61" priority="135" stopIfTrue="1" operator="equal">
      <formula>"Food for human consumption"</formula>
    </cfRule>
    <cfRule type="cellIs" dxfId="60" priority="136" stopIfTrue="1" operator="equal">
      <formula>"Specifications for food additives"</formula>
    </cfRule>
    <cfRule type="cellIs" dxfId="59" priority="137" stopIfTrue="1" operator="equal">
      <formula>"Food"</formula>
    </cfRule>
    <cfRule type="cellIs" dxfId="58" priority="138" stopIfTrue="1" operator="equal">
      <formula>"Foodstuffs"</formula>
    </cfRule>
    <cfRule type="cellIs" dxfId="57" priority="139" stopIfTrue="1" operator="equal">
      <formula>" Food"</formula>
    </cfRule>
    <cfRule type="cellIs" dxfId="56" priority="140" stopIfTrue="1" operator="equal">
      <formula>"Food labeling"</formula>
    </cfRule>
    <cfRule type="cellIs" dxfId="55" priority="141" stopIfTrue="1" operator="equal">
      <formula>"Food"</formula>
    </cfRule>
  </conditionalFormatting>
  <conditionalFormatting sqref="F38:G39">
    <cfRule type="cellIs" dxfId="54" priority="42" stopIfTrue="1" operator="equal">
      <formula>"All foods (ICS: 67)      "</formula>
    </cfRule>
    <cfRule type="cellIs" dxfId="53" priority="43" stopIfTrue="1" operator="equal">
      <formula>"All foods (ICS: 67)     "</formula>
    </cfRule>
    <cfRule type="cellIs" dxfId="52" priority="44" stopIfTrue="1" operator="equal">
      <formula>"All food (ICS: 67)   "</formula>
    </cfRule>
    <cfRule type="cellIs" dxfId="51" priority="45" stopIfTrue="1" operator="equal">
      <formula>"All food(ICS:67)"</formula>
    </cfRule>
    <cfRule type="cellIs" dxfId="50" priority="46" stopIfTrue="1" operator="equal">
      <formula>"food products"</formula>
    </cfRule>
    <cfRule type="cellIs" dxfId="49" priority="47" stopIfTrue="1" operator="equal">
      <formula>"Food in General  (ICS:67.040) "</formula>
    </cfRule>
    <cfRule type="cellIs" dxfId="48" priority="48" stopIfTrue="1" operator="equal">
      <formula>"Food in General (ICS:67.040)    "</formula>
    </cfRule>
    <cfRule type="cellIs" dxfId="47" priority="49" stopIfTrue="1" operator="equal">
      <formula>"Prepackaged Food Products"</formula>
    </cfRule>
    <cfRule type="cellIs" dxfId="46" priority="50" stopIfTrue="1" operator="equal">
      <formula>"Novel Foods "</formula>
    </cfRule>
    <cfRule type="cellIs" dxfId="45" priority="51" stopIfTrue="1" operator="equal">
      <formula>"Food Additives"</formula>
    </cfRule>
    <cfRule type="cellIs" dxfId="44" priority="52" stopIfTrue="1" operator="equal">
      <formula>"Foods Chain"</formula>
    </cfRule>
    <cfRule type="cellIs" dxfId="43" priority="53" stopIfTrue="1" operator="equal">
      <formula>"Food Additives    "</formula>
    </cfRule>
    <cfRule type="cellIs" dxfId="42" priority="54" stopIfTrue="1" operator="equal">
      <formula>"Food  Labelling"</formula>
    </cfRule>
    <cfRule type="cellIs" dxfId="41" priority="55" stopIfTrue="1" operator="equal">
      <formula>"Food Labelling "</formula>
    </cfRule>
    <cfRule type="cellIs" dxfId="40" priority="56" stopIfTrue="1" operator="equal">
      <formula>"Halal Foods "</formula>
    </cfRule>
    <cfRule type="cellIs" dxfId="39" priority="57" stopIfTrue="1" operator="equal">
      <formula>"Food "</formula>
    </cfRule>
    <cfRule type="cellIs" dxfId="38" priority="58" stopIfTrue="1" operator="equal">
      <formula>"Food for human consumption ."</formula>
    </cfRule>
    <cfRule type="cellIs" dxfId="37" priority="59" stopIfTrue="1" operator="equal">
      <formula>"Food flavourings and food ingredients with flavouring properties"</formula>
    </cfRule>
    <cfRule type="cellIs" dxfId="36" priority="60" stopIfTrue="1" operator="equal">
      <formula>"Food for human consumption"</formula>
    </cfRule>
    <cfRule type="cellIs" dxfId="35" priority="61" stopIfTrue="1" operator="equal">
      <formula>"Specifications for food additives"</formula>
    </cfRule>
    <cfRule type="cellIs" dxfId="34" priority="62" stopIfTrue="1" operator="equal">
      <formula>"Food"</formula>
    </cfRule>
    <cfRule type="cellIs" dxfId="33" priority="63" stopIfTrue="1" operator="equal">
      <formula>"Foodstuffs"</formula>
    </cfRule>
    <cfRule type="cellIs" dxfId="32" priority="64" stopIfTrue="1" operator="equal">
      <formula>" Food"</formula>
    </cfRule>
    <cfRule type="cellIs" dxfId="31" priority="65" stopIfTrue="1" operator="equal">
      <formula>"Food labeling"</formula>
    </cfRule>
    <cfRule type="cellIs" dxfId="30" priority="66" stopIfTrue="1" operator="equal">
      <formula>"Food"</formula>
    </cfRule>
  </conditionalFormatting>
  <conditionalFormatting sqref="F37:G37">
    <cfRule type="cellIs" dxfId="29" priority="17" stopIfTrue="1" operator="equal">
      <formula>"All foods (ICS: 67)      "</formula>
    </cfRule>
    <cfRule type="cellIs" dxfId="28" priority="18" stopIfTrue="1" operator="equal">
      <formula>"All foods (ICS: 67)     "</formula>
    </cfRule>
    <cfRule type="cellIs" dxfId="27" priority="19" stopIfTrue="1" operator="equal">
      <formula>"All food (ICS: 67)   "</formula>
    </cfRule>
    <cfRule type="cellIs" dxfId="26" priority="20" stopIfTrue="1" operator="equal">
      <formula>"All food(ICS:67)"</formula>
    </cfRule>
    <cfRule type="cellIs" dxfId="25" priority="21" stopIfTrue="1" operator="equal">
      <formula>"food products"</formula>
    </cfRule>
    <cfRule type="cellIs" dxfId="24" priority="22" stopIfTrue="1" operator="equal">
      <formula>"Food in General  (ICS:67.040) "</formula>
    </cfRule>
    <cfRule type="cellIs" dxfId="23" priority="23" stopIfTrue="1" operator="equal">
      <formula>"Food in General (ICS:67.040)    "</formula>
    </cfRule>
    <cfRule type="cellIs" dxfId="22" priority="24" stopIfTrue="1" operator="equal">
      <formula>"Prepackaged Food Products"</formula>
    </cfRule>
    <cfRule type="cellIs" dxfId="21" priority="25" stopIfTrue="1" operator="equal">
      <formula>"Novel Foods "</formula>
    </cfRule>
    <cfRule type="cellIs" dxfId="20" priority="26" stopIfTrue="1" operator="equal">
      <formula>"Food Additives"</formula>
    </cfRule>
    <cfRule type="cellIs" dxfId="19" priority="27" stopIfTrue="1" operator="equal">
      <formula>"Foods Chain"</formula>
    </cfRule>
    <cfRule type="cellIs" dxfId="18" priority="28" stopIfTrue="1" operator="equal">
      <formula>"Food Additives    "</formula>
    </cfRule>
    <cfRule type="cellIs" dxfId="17" priority="29" stopIfTrue="1" operator="equal">
      <formula>"Food  Labelling"</formula>
    </cfRule>
    <cfRule type="cellIs" dxfId="16" priority="30" stopIfTrue="1" operator="equal">
      <formula>"Food Labelling "</formula>
    </cfRule>
    <cfRule type="cellIs" dxfId="15" priority="31" stopIfTrue="1" operator="equal">
      <formula>"Halal Foods "</formula>
    </cfRule>
    <cfRule type="cellIs" dxfId="14" priority="32" stopIfTrue="1" operator="equal">
      <formula>"Food "</formula>
    </cfRule>
    <cfRule type="cellIs" dxfId="13" priority="33" stopIfTrue="1" operator="equal">
      <formula>"Food for human consumption ."</formula>
    </cfRule>
    <cfRule type="cellIs" dxfId="12" priority="34" stopIfTrue="1" operator="equal">
      <formula>"Food flavourings and food ingredients with flavouring properties"</formula>
    </cfRule>
    <cfRule type="cellIs" dxfId="11" priority="35" stopIfTrue="1" operator="equal">
      <formula>"Food for human consumption"</formula>
    </cfRule>
    <cfRule type="cellIs" dxfId="10" priority="36" stopIfTrue="1" operator="equal">
      <formula>"Specifications for food additives"</formula>
    </cfRule>
    <cfRule type="cellIs" dxfId="9" priority="37" stopIfTrue="1" operator="equal">
      <formula>"Food"</formula>
    </cfRule>
    <cfRule type="cellIs" dxfId="8" priority="38" stopIfTrue="1" operator="equal">
      <formula>"Foodstuffs"</formula>
    </cfRule>
    <cfRule type="cellIs" dxfId="7" priority="39" stopIfTrue="1" operator="equal">
      <formula>" Food"</formula>
    </cfRule>
    <cfRule type="cellIs" dxfId="6" priority="40" stopIfTrue="1" operator="equal">
      <formula>"Food labeling"</formula>
    </cfRule>
    <cfRule type="cellIs" dxfId="5" priority="41" stopIfTrue="1" operator="equal">
      <formula>"Food"</formula>
    </cfRule>
  </conditionalFormatting>
  <conditionalFormatting sqref="N23">
    <cfRule type="cellIs" dxfId="4" priority="14" operator="greaterThan">
      <formula>42744</formula>
    </cfRule>
  </conditionalFormatting>
  <conditionalFormatting sqref="N23">
    <cfRule type="cellIs" dxfId="3" priority="13" operator="greaterThan">
      <formula>42761</formula>
    </cfRule>
  </conditionalFormatting>
  <conditionalFormatting sqref="J1:J5 J15:J1048576">
    <cfRule type="cellIs" dxfId="2" priority="5" operator="greaterThan">
      <formula>42779</formula>
    </cfRule>
  </conditionalFormatting>
  <conditionalFormatting sqref="J13:J14">
    <cfRule type="cellIs" dxfId="1" priority="4" operator="greaterThan">
      <formula>42779</formula>
    </cfRule>
  </conditionalFormatting>
  <conditionalFormatting sqref="J7:J12">
    <cfRule type="cellIs" dxfId="0" priority="1" operator="greaterThan">
      <formula>42779</formula>
    </cfRule>
  </conditionalFormatting>
  <hyperlinks>
    <hyperlink ref="K7" r:id="rId1"/>
  </hyperlinks>
  <pageMargins left="0.23622047244094491" right="0.23622047244094491" top="0.74803149606299213" bottom="0.74803149606299213" header="0.70866141732283472" footer="0.31496062992125984"/>
  <pageSetup paperSize="9" scale="52" fitToHeight="0"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eping_WTO TBT notifications</vt:lpstr>
      <vt:lpstr>eping_WTO_SPS notification</vt:lpstr>
      <vt:lpstr>'eping_WTO TBT notifications'!bmkSymbols</vt:lpstr>
      <vt:lpstr>'eping_WTO_SPS notification'!sps5c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 Hinzen</dc:creator>
  <cp:lastModifiedBy>Acer</cp:lastModifiedBy>
  <cp:lastPrinted>2016-12-08T11:47:56Z</cp:lastPrinted>
  <dcterms:created xsi:type="dcterms:W3CDTF">2016-12-06T13:45:00Z</dcterms:created>
  <dcterms:modified xsi:type="dcterms:W3CDTF">2017-02-21T13:11:32Z</dcterms:modified>
</cp:coreProperties>
</file>